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UBP\_Arbeitsdateien\2020\60WolfDanielInventatTest\orig\"/>
    </mc:Choice>
  </mc:AlternateContent>
  <workbookProtection workbookAlgorithmName="SHA-512" workbookHashValue="LFkyu7lWOOAdRDCQyrfjR4bPVu43h5kiCSVYjXqONUzBxXb5TsMsyD9RoiF2XTe53vUgrhb/Q9LYicXwqgGNmw==" workbookSaltValue="OYU5zXycKbBTN7D2GY67WA==" workbookSpinCount="100000" lockStructure="1"/>
  <bookViews>
    <workbookView xWindow="0" yWindow="0" windowWidth="28800" windowHeight="12990"/>
  </bookViews>
  <sheets>
    <sheet name="cover" sheetId="12" r:id="rId1"/>
    <sheet name="SEC-I-SR Auswertungsbogen" sheetId="5" r:id="rId2"/>
    <sheet name="SEC-I-OR Auswertungsbogen" sheetId="7" r:id="rId3"/>
    <sheet name="SEC-SJT Auswertungsbogen" sheetId="6" r:id="rId4"/>
    <sheet name="Profilbogen" sheetId="4" r:id="rId5"/>
    <sheet name="profile" sheetId="10" state="hidden" r:id="rId6"/>
    <sheet name="SEC-I norm" sheetId="8" state="hidden" r:id="rId7"/>
    <sheet name="SEC-SJT norm" sheetId="9" state="hidden" r:id="rId8"/>
  </sheets>
  <definedNames>
    <definedName name="_xlnm.Print_Area" localSheetId="0">cover!$B$1:$X$31</definedName>
    <definedName name="_xlnm.Print_Area" localSheetId="4">Profilbogen!$B$1:$AU$62</definedName>
    <definedName name="_xlnm.Print_Area" localSheetId="2">'SEC-I-OR Auswertungsbogen'!$B$1:$AU$62</definedName>
    <definedName name="_xlnm.Print_Area" localSheetId="1">'SEC-I-SR Auswertungsbogen'!$B$1:$AU$62</definedName>
    <definedName name="_xlnm.Print_Area" localSheetId="3">'SEC-SJT Auswertungsbogen'!$B$1:$AU$62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C41" i="7" l="1"/>
  <c r="BC41" i="5"/>
  <c r="BC41" i="6"/>
  <c r="M13" i="4" l="1"/>
  <c r="M15" i="4"/>
  <c r="M23" i="4" l="1"/>
  <c r="M22" i="4"/>
  <c r="M21" i="4"/>
  <c r="M20" i="4"/>
  <c r="M14" i="4"/>
  <c r="M12" i="4"/>
  <c r="M11" i="4"/>
  <c r="I3" i="10"/>
  <c r="F3" i="10"/>
  <c r="F4" i="10"/>
  <c r="I37" i="10" l="1"/>
  <c r="I25" i="10"/>
  <c r="I24" i="10"/>
  <c r="I23" i="10"/>
  <c r="I41" i="10"/>
  <c r="I26" i="10"/>
  <c r="I38" i="10"/>
  <c r="I39" i="10"/>
  <c r="I40" i="10"/>
  <c r="I30" i="10"/>
  <c r="I42" i="10"/>
  <c r="I35" i="10"/>
  <c r="I28" i="10"/>
  <c r="I36" i="10"/>
  <c r="I22" i="10"/>
  <c r="I34" i="10"/>
  <c r="I29" i="10"/>
  <c r="I27" i="10"/>
  <c r="J15" i="10"/>
  <c r="I15" i="10"/>
  <c r="F16" i="10"/>
  <c r="E16" i="10"/>
  <c r="J14" i="10"/>
  <c r="I14" i="10"/>
  <c r="F15" i="10"/>
  <c r="E15" i="10"/>
  <c r="J13" i="10"/>
  <c r="I13" i="10"/>
  <c r="F14" i="10"/>
  <c r="E14" i="10"/>
  <c r="J12" i="10"/>
  <c r="I12" i="10"/>
  <c r="F13" i="10"/>
  <c r="E13" i="10"/>
  <c r="J11" i="10"/>
  <c r="I11" i="10"/>
  <c r="F12" i="10"/>
  <c r="E12" i="10"/>
  <c r="J10" i="10"/>
  <c r="I10" i="10"/>
  <c r="F11" i="10"/>
  <c r="E11" i="10"/>
  <c r="J9" i="10"/>
  <c r="I9" i="10"/>
  <c r="F10" i="10"/>
  <c r="E10" i="10"/>
  <c r="J8" i="10"/>
  <c r="I8" i="10"/>
  <c r="F9" i="10"/>
  <c r="E9" i="10"/>
  <c r="J7" i="10"/>
  <c r="I7" i="10"/>
  <c r="F8" i="10"/>
  <c r="E8" i="10"/>
  <c r="BM41" i="6" l="1"/>
  <c r="BL41" i="6"/>
  <c r="BK41" i="6"/>
  <c r="BJ41" i="6"/>
  <c r="BI41" i="6"/>
  <c r="BH41" i="6"/>
  <c r="BG41" i="6"/>
  <c r="BF41" i="6"/>
  <c r="BE41" i="6"/>
  <c r="BD41" i="6"/>
  <c r="BG49" i="7"/>
  <c r="BF49" i="7"/>
  <c r="BE49" i="7"/>
  <c r="BD49" i="7"/>
  <c r="BC49" i="7" s="1"/>
  <c r="BL48" i="7"/>
  <c r="BK48" i="7"/>
  <c r="BJ48" i="7"/>
  <c r="BI48" i="7"/>
  <c r="BH48" i="7"/>
  <c r="BG48" i="7"/>
  <c r="BF48" i="7"/>
  <c r="BE48" i="7"/>
  <c r="BD48" i="7"/>
  <c r="BG47" i="7"/>
  <c r="BF47" i="7"/>
  <c r="BE47" i="7"/>
  <c r="BD47" i="7"/>
  <c r="BH46" i="7"/>
  <c r="BG46" i="7"/>
  <c r="BF46" i="7"/>
  <c r="BE46" i="7"/>
  <c r="BD46" i="7"/>
  <c r="BH45" i="7"/>
  <c r="BG45" i="7"/>
  <c r="BF45" i="7"/>
  <c r="BE45" i="7"/>
  <c r="BD45" i="7"/>
  <c r="BH44" i="7"/>
  <c r="BG44" i="7"/>
  <c r="BF44" i="7"/>
  <c r="BE44" i="7"/>
  <c r="BD44" i="7"/>
  <c r="BH43" i="7"/>
  <c r="BG43" i="7"/>
  <c r="BF43" i="7"/>
  <c r="BE43" i="7"/>
  <c r="BD43" i="7"/>
  <c r="BC43" i="7" s="1"/>
  <c r="BG42" i="7"/>
  <c r="BF42" i="7"/>
  <c r="BE42" i="7"/>
  <c r="BD42" i="7"/>
  <c r="BC42" i="7" s="1"/>
  <c r="BB41" i="7"/>
  <c r="P45" i="4" s="1"/>
  <c r="BL48" i="5"/>
  <c r="BK48" i="5"/>
  <c r="BJ48" i="5"/>
  <c r="BI48" i="5"/>
  <c r="BH48" i="5"/>
  <c r="BH46" i="5"/>
  <c r="BH45" i="5"/>
  <c r="BH44" i="5"/>
  <c r="BH43" i="5"/>
  <c r="BG49" i="5"/>
  <c r="BG48" i="5"/>
  <c r="BG47" i="5"/>
  <c r="BG46" i="5"/>
  <c r="BG45" i="5"/>
  <c r="BG44" i="5"/>
  <c r="BG43" i="5"/>
  <c r="BG42" i="5"/>
  <c r="BF49" i="5"/>
  <c r="BF48" i="5"/>
  <c r="BF47" i="5"/>
  <c r="BF46" i="5"/>
  <c r="BF45" i="5"/>
  <c r="BF44" i="5"/>
  <c r="BF43" i="5"/>
  <c r="BF42" i="5"/>
  <c r="BE49" i="5"/>
  <c r="BE48" i="5"/>
  <c r="BE47" i="5"/>
  <c r="BE46" i="5"/>
  <c r="BE45" i="5"/>
  <c r="BE44" i="5"/>
  <c r="BE43" i="5"/>
  <c r="BE42" i="5"/>
  <c r="BD49" i="5"/>
  <c r="BC49" i="5" s="1"/>
  <c r="BD48" i="5"/>
  <c r="BD47" i="5"/>
  <c r="BC47" i="5" s="1"/>
  <c r="BD46" i="5"/>
  <c r="BD45" i="5"/>
  <c r="BC45" i="5" s="1"/>
  <c r="BD44" i="5"/>
  <c r="BD43" i="5"/>
  <c r="BD42" i="5"/>
  <c r="BC42" i="5" s="1"/>
  <c r="BB41" i="5"/>
  <c r="G45" i="4" s="1"/>
  <c r="BB41" i="6" l="1"/>
  <c r="G44" i="4" s="1"/>
  <c r="BG44" i="4" s="1"/>
  <c r="BC47" i="7"/>
  <c r="BC44" i="7"/>
  <c r="BC46" i="7"/>
  <c r="BC45" i="7"/>
  <c r="P49" i="4" s="1"/>
  <c r="BC48" i="7"/>
  <c r="BC43" i="5"/>
  <c r="G47" i="4" s="1"/>
  <c r="BC44" i="5"/>
  <c r="BC48" i="5"/>
  <c r="G52" i="4" s="1"/>
  <c r="BC46" i="5"/>
  <c r="BO45" i="4"/>
  <c r="BN45" i="4"/>
  <c r="T45" i="4" s="1"/>
  <c r="BK45" i="4"/>
  <c r="R45" i="4" s="1"/>
  <c r="D34" i="10" s="1"/>
  <c r="BM45" i="4"/>
  <c r="BL45" i="4"/>
  <c r="BP45" i="4"/>
  <c r="BF45" i="4"/>
  <c r="BC45" i="4"/>
  <c r="BB45" i="4"/>
  <c r="I45" i="4" s="1"/>
  <c r="D22" i="10" s="1"/>
  <c r="BG45" i="4"/>
  <c r="BE45" i="4"/>
  <c r="K45" i="4" s="1"/>
  <c r="BD45" i="4"/>
  <c r="BB45" i="7"/>
  <c r="BB46" i="7"/>
  <c r="P47" i="4"/>
  <c r="BB42" i="7"/>
  <c r="BB48" i="7"/>
  <c r="BB47" i="7"/>
  <c r="P51" i="4" s="1"/>
  <c r="BB44" i="7"/>
  <c r="BB43" i="7"/>
  <c r="BB49" i="7"/>
  <c r="BB42" i="5"/>
  <c r="G46" i="4" s="1"/>
  <c r="BB45" i="5"/>
  <c r="BB44" i="5"/>
  <c r="G48" i="4" s="1"/>
  <c r="BB46" i="5"/>
  <c r="BB48" i="5"/>
  <c r="G49" i="4"/>
  <c r="G51" i="4"/>
  <c r="BB47" i="5"/>
  <c r="BB49" i="5"/>
  <c r="G53" i="4" s="1"/>
  <c r="BB43" i="5"/>
  <c r="BE44" i="4" l="1"/>
  <c r="K44" i="4" s="1"/>
  <c r="BF44" i="4"/>
  <c r="P50" i="4"/>
  <c r="BK50" i="4" s="1"/>
  <c r="R50" i="4" s="1"/>
  <c r="G50" i="4"/>
  <c r="BF50" i="4" s="1"/>
  <c r="BO47" i="4"/>
  <c r="BN47" i="4"/>
  <c r="T47" i="4" s="1"/>
  <c r="BP47" i="4"/>
  <c r="BP49" i="4"/>
  <c r="BO49" i="4"/>
  <c r="BN49" i="4"/>
  <c r="BN51" i="4"/>
  <c r="T51" i="4" s="1"/>
  <c r="BO51" i="4"/>
  <c r="BP51" i="4"/>
  <c r="E22" i="10"/>
  <c r="G22" i="10"/>
  <c r="P48" i="4"/>
  <c r="BM48" i="4" s="1"/>
  <c r="P46" i="4"/>
  <c r="BK46" i="4" s="1"/>
  <c r="R46" i="4" s="1"/>
  <c r="D35" i="10" s="1"/>
  <c r="P53" i="4"/>
  <c r="P52" i="4"/>
  <c r="BL51" i="4"/>
  <c r="BK51" i="4"/>
  <c r="R51" i="4" s="1"/>
  <c r="BM51" i="4"/>
  <c r="BM47" i="4"/>
  <c r="BL47" i="4"/>
  <c r="BK47" i="4"/>
  <c r="R47" i="4" s="1"/>
  <c r="D36" i="10" s="1"/>
  <c r="BL49" i="4"/>
  <c r="BK49" i="4"/>
  <c r="R49" i="4" s="1"/>
  <c r="D38" i="10" s="1"/>
  <c r="T49" i="4"/>
  <c r="BM49" i="4"/>
  <c r="E34" i="10"/>
  <c r="G34" i="10"/>
  <c r="BB53" i="4"/>
  <c r="I53" i="4" s="1"/>
  <c r="D30" i="10" s="1"/>
  <c r="BF53" i="4"/>
  <c r="BG53" i="4"/>
  <c r="BD53" i="4"/>
  <c r="BE53" i="4"/>
  <c r="K53" i="4" s="1"/>
  <c r="BC53" i="4"/>
  <c r="BB46" i="4"/>
  <c r="I46" i="4" s="1"/>
  <c r="D23" i="10" s="1"/>
  <c r="BC46" i="4"/>
  <c r="BG46" i="4"/>
  <c r="BF46" i="4"/>
  <c r="BD46" i="4"/>
  <c r="BE46" i="4"/>
  <c r="K46" i="4" s="1"/>
  <c r="BG47" i="4"/>
  <c r="BF47" i="4"/>
  <c r="BE47" i="4"/>
  <c r="K47" i="4" s="1"/>
  <c r="BD47" i="4"/>
  <c r="BC47" i="4"/>
  <c r="BB47" i="4"/>
  <c r="I47" i="4" s="1"/>
  <c r="D24" i="10" s="1"/>
  <c r="BF48" i="4"/>
  <c r="BC48" i="4"/>
  <c r="BE48" i="4"/>
  <c r="K48" i="4" s="1"/>
  <c r="BB48" i="4"/>
  <c r="BD48" i="4"/>
  <c r="BG48" i="4"/>
  <c r="BG52" i="4"/>
  <c r="BD52" i="4"/>
  <c r="BE52" i="4"/>
  <c r="K52" i="4" s="1"/>
  <c r="BB52" i="4"/>
  <c r="I52" i="4" s="1"/>
  <c r="D29" i="10" s="1"/>
  <c r="BC52" i="4"/>
  <c r="BF52" i="4"/>
  <c r="BF51" i="4"/>
  <c r="BD51" i="4"/>
  <c r="BE51" i="4"/>
  <c r="K51" i="4" s="1"/>
  <c r="BB51" i="4"/>
  <c r="I51" i="4" s="1"/>
  <c r="D28" i="10" s="1"/>
  <c r="BC51" i="4"/>
  <c r="BG51" i="4"/>
  <c r="BG49" i="4"/>
  <c r="BB49" i="4"/>
  <c r="I49" i="4" s="1"/>
  <c r="D26" i="10" s="1"/>
  <c r="BF49" i="4"/>
  <c r="BE49" i="4"/>
  <c r="K49" i="4" s="1"/>
  <c r="BD49" i="4"/>
  <c r="BC49" i="4"/>
  <c r="BE50" i="4"/>
  <c r="K50" i="4" s="1"/>
  <c r="BB50" i="4"/>
  <c r="I50" i="4" s="1"/>
  <c r="D27" i="10" s="1"/>
  <c r="BN50" i="4" l="1"/>
  <c r="T50" i="4" s="1"/>
  <c r="BM50" i="4"/>
  <c r="BO50" i="4"/>
  <c r="BL50" i="4"/>
  <c r="BP50" i="4"/>
  <c r="BC50" i="4"/>
  <c r="BD50" i="4"/>
  <c r="BG50" i="4"/>
  <c r="D39" i="10"/>
  <c r="E39" i="10" s="1"/>
  <c r="D40" i="10"/>
  <c r="E40" i="10" s="1"/>
  <c r="BK52" i="4"/>
  <c r="R52" i="4" s="1"/>
  <c r="D41" i="10" s="1"/>
  <c r="H41" i="10" s="1"/>
  <c r="BP52" i="4"/>
  <c r="BN52" i="4"/>
  <c r="T52" i="4" s="1"/>
  <c r="BO52" i="4"/>
  <c r="BP53" i="4"/>
  <c r="BO53" i="4"/>
  <c r="BN53" i="4"/>
  <c r="T53" i="4" s="1"/>
  <c r="BP46" i="4"/>
  <c r="BO46" i="4"/>
  <c r="BN46" i="4"/>
  <c r="T46" i="4" s="1"/>
  <c r="BL46" i="4"/>
  <c r="BM46" i="4"/>
  <c r="BO48" i="4"/>
  <c r="BN48" i="4"/>
  <c r="T48" i="4" s="1"/>
  <c r="BP48" i="4"/>
  <c r="BK48" i="4"/>
  <c r="R48" i="4" s="1"/>
  <c r="I48" i="4"/>
  <c r="D25" i="10" s="1"/>
  <c r="H28" i="10"/>
  <c r="E28" i="10"/>
  <c r="E24" i="10"/>
  <c r="H24" i="10"/>
  <c r="E30" i="10"/>
  <c r="H30" i="10"/>
  <c r="H27" i="10"/>
  <c r="E27" i="10"/>
  <c r="H26" i="10"/>
  <c r="E26" i="10"/>
  <c r="E29" i="10"/>
  <c r="H29" i="10"/>
  <c r="E23" i="10"/>
  <c r="H23" i="10"/>
  <c r="BL48" i="4"/>
  <c r="BM53" i="4"/>
  <c r="BK53" i="4"/>
  <c r="R53" i="4" s="1"/>
  <c r="BL53" i="4"/>
  <c r="BL52" i="4"/>
  <c r="BM52" i="4"/>
  <c r="H36" i="10"/>
  <c r="E36" i="10"/>
  <c r="H38" i="10"/>
  <c r="E38" i="10"/>
  <c r="H35" i="10"/>
  <c r="E35" i="10"/>
  <c r="H40" i="10" l="1"/>
  <c r="H39" i="10"/>
  <c r="E41" i="10"/>
  <c r="D42" i="10"/>
  <c r="E42" i="10" s="1"/>
  <c r="D37" i="10"/>
  <c r="H37" i="10" s="1"/>
  <c r="H25" i="10"/>
  <c r="E25" i="10"/>
  <c r="E37" i="10" l="1"/>
  <c r="H42" i="10"/>
</calcChain>
</file>

<file path=xl/sharedStrings.xml><?xml version="1.0" encoding="utf-8"?>
<sst xmlns="http://schemas.openxmlformats.org/spreadsheetml/2006/main" count="2467" uniqueCount="213">
  <si>
    <t>Item</t>
  </si>
  <si>
    <t>Rohwert</t>
  </si>
  <si>
    <t>Skala</t>
  </si>
  <si>
    <t>SEC-SJT</t>
  </si>
  <si>
    <t>SEC-SR</t>
  </si>
  <si>
    <t>EBE-SR</t>
  </si>
  <si>
    <t>ECO-SR</t>
  </si>
  <si>
    <t>PEA-SR</t>
  </si>
  <si>
    <t>PES-SR</t>
  </si>
  <si>
    <t>RES-SR</t>
  </si>
  <si>
    <t>REA-SR</t>
  </si>
  <si>
    <t>SOB-SR</t>
  </si>
  <si>
    <t>SON-SR</t>
  </si>
  <si>
    <t>T-Wert</t>
  </si>
  <si>
    <t>PR</t>
  </si>
  <si>
    <t>Antwortalternative</t>
  </si>
  <si>
    <t>-</t>
  </si>
  <si>
    <t>Werte</t>
  </si>
  <si>
    <t>Datum:</t>
  </si>
  <si>
    <t>Angaben zur Testperson</t>
  </si>
  <si>
    <t>Name, Vorname
oder Personenkennziffer:</t>
  </si>
  <si>
    <t>Geschlecht</t>
  </si>
  <si>
    <t>Angaben zur Fremdeinschätzung</t>
  </si>
  <si>
    <t>Testperson wurde eingeschätzt von</t>
  </si>
  <si>
    <t>Name, Vorname:</t>
  </si>
  <si>
    <t>Tätigkeitsbereich:</t>
  </si>
  <si>
    <t>Dauer der Bekanntheit:</t>
  </si>
  <si>
    <t>Erhebungsdatum SEC-I-OR:</t>
  </si>
  <si>
    <t>Ergebnistabelle</t>
  </si>
  <si>
    <t>Norm</t>
  </si>
  <si>
    <t>Alter:</t>
  </si>
  <si>
    <t>Geschlecht:</t>
  </si>
  <si>
    <t>Erhebungsdatum SEC-SJT:</t>
  </si>
  <si>
    <t>Erhebungsdatum SEC-I-SR:</t>
  </si>
  <si>
    <t>Norm:</t>
  </si>
  <si>
    <t>Auswahlfelder</t>
  </si>
  <si>
    <t>weiblich</t>
  </si>
  <si>
    <t>männlich</t>
  </si>
  <si>
    <t>divers</t>
  </si>
  <si>
    <t>Gesamt</t>
  </si>
  <si>
    <t>Ergänzungen/Notizen</t>
  </si>
  <si>
    <t>Seite 3</t>
  </si>
  <si>
    <t>Seite 4</t>
  </si>
  <si>
    <t>Seite 5</t>
  </si>
  <si>
    <t>Fehlend</t>
  </si>
  <si>
    <t>Seite 6</t>
  </si>
  <si>
    <t>Seite 7</t>
  </si>
  <si>
    <t>Seite 8</t>
  </si>
  <si>
    <t>Itemwerte</t>
  </si>
  <si>
    <t>Beobachtungen der Testleitung</t>
  </si>
  <si>
    <t>SEC-OR</t>
  </si>
  <si>
    <t>EBE-OR</t>
  </si>
  <si>
    <t>ECO-OR</t>
  </si>
  <si>
    <t>PEA-OR</t>
  </si>
  <si>
    <t>PES-OR</t>
  </si>
  <si>
    <t>REA-OR</t>
  </si>
  <si>
    <t>RES-OR</t>
  </si>
  <si>
    <t>SOB-OR</t>
  </si>
  <si>
    <t>SON-OR</t>
  </si>
  <si>
    <t>Antworttabelle</t>
  </si>
  <si>
    <t>T</t>
  </si>
  <si>
    <t>SEC</t>
  </si>
  <si>
    <t>EBE</t>
  </si>
  <si>
    <t>ECO</t>
  </si>
  <si>
    <t>PEA</t>
  </si>
  <si>
    <t>PES</t>
  </si>
  <si>
    <t>REA</t>
  </si>
  <si>
    <t>RES</t>
  </si>
  <si>
    <t>SOB</t>
  </si>
  <si>
    <t>SON</t>
  </si>
  <si>
    <t>total</t>
  </si>
  <si>
    <t>female</t>
  </si>
  <si>
    <t>male</t>
  </si>
  <si>
    <t/>
  </si>
  <si>
    <t>SEC-SR_total</t>
  </si>
  <si>
    <t>SEC-SR_female</t>
  </si>
  <si>
    <t>SEC-SR_male</t>
  </si>
  <si>
    <t>SEC-OR_total</t>
  </si>
  <si>
    <t>SEC-OR_female</t>
  </si>
  <si>
    <t>SEC-OR_male</t>
  </si>
  <si>
    <t>EBE-SR_total</t>
  </si>
  <si>
    <t>EBE-SR_female</t>
  </si>
  <si>
    <t>EBE-SR_male</t>
  </si>
  <si>
    <t>EBE-OR_total</t>
  </si>
  <si>
    <t>EBE-OR_female</t>
  </si>
  <si>
    <t>EBE-OR_male</t>
  </si>
  <si>
    <t>ECO-SR_total</t>
  </si>
  <si>
    <t>ECO-SR_female</t>
  </si>
  <si>
    <t>ECO-SR_male</t>
  </si>
  <si>
    <t>ECO-OR_total</t>
  </si>
  <si>
    <t>ECO-OR_female</t>
  </si>
  <si>
    <t>ECO-OR_male</t>
  </si>
  <si>
    <t>PEA-SR_total</t>
  </si>
  <si>
    <t>PEA-SR_female</t>
  </si>
  <si>
    <t>PEA-SR_male</t>
  </si>
  <si>
    <t>PEA-OR_total</t>
  </si>
  <si>
    <t>PEA-OR_female</t>
  </si>
  <si>
    <t>PEA-OR_male</t>
  </si>
  <si>
    <t>PES-SR_total</t>
  </si>
  <si>
    <t>PES-SR_female</t>
  </si>
  <si>
    <t>PES-SR_male</t>
  </si>
  <si>
    <t>PES-OR_total</t>
  </si>
  <si>
    <t>PES-OR_female</t>
  </si>
  <si>
    <t>PES-OR_male</t>
  </si>
  <si>
    <t>REA-SR_total</t>
  </si>
  <si>
    <t>REA-SR_female</t>
  </si>
  <si>
    <t>REA-SR_male</t>
  </si>
  <si>
    <t>REA-OR_total</t>
  </si>
  <si>
    <t>REA-OR_female</t>
  </si>
  <si>
    <t>REA-OR_male</t>
  </si>
  <si>
    <t>RES-SR_total</t>
  </si>
  <si>
    <t>RES-SR_female</t>
  </si>
  <si>
    <t>RES-SR_male</t>
  </si>
  <si>
    <t>RES-OR_total</t>
  </si>
  <si>
    <t>RES-OR_female</t>
  </si>
  <si>
    <t>RES-OR_male</t>
  </si>
  <si>
    <t>SOB-SR_total</t>
  </si>
  <si>
    <t>SOB-SR_female</t>
  </si>
  <si>
    <t>SOB-SR_male</t>
  </si>
  <si>
    <t>SOB-OR_total</t>
  </si>
  <si>
    <t>SOB-OR_female</t>
  </si>
  <si>
    <t>SOB-OR_male</t>
  </si>
  <si>
    <t>SON-SR_total</t>
  </si>
  <si>
    <t>SON-SR_female</t>
  </si>
  <si>
    <t>SON-SR_male</t>
  </si>
  <si>
    <t>SON-OR_total</t>
  </si>
  <si>
    <t>SON-OR_female</t>
  </si>
  <si>
    <t>SON-OR_male</t>
  </si>
  <si>
    <t>PR_total</t>
  </si>
  <si>
    <t>PR_female</t>
  </si>
  <si>
    <t>PR_male</t>
  </si>
  <si>
    <t>Profil für SEC-I</t>
  </si>
  <si>
    <t>Vertrauenswahrscheinlichkeit</t>
  </si>
  <si>
    <t>M</t>
  </si>
  <si>
    <t>rel</t>
  </si>
  <si>
    <t>global</t>
  </si>
  <si>
    <t>M-1s</t>
  </si>
  <si>
    <t>M+1s</t>
  </si>
  <si>
    <r>
      <rPr>
        <sz val="12"/>
        <color rgb="FFB2C1E0"/>
        <rFont val="Arial"/>
        <family val="2"/>
      </rPr>
      <t>███</t>
    </r>
    <r>
      <rPr>
        <sz val="12"/>
        <color theme="1"/>
        <rFont val="Arial"/>
        <family val="2"/>
      </rPr>
      <t xml:space="preserve">     Durchschnittsbereich</t>
    </r>
  </si>
  <si>
    <t>68% (einseitig)</t>
  </si>
  <si>
    <t>90% (einseitig)</t>
  </si>
  <si>
    <t>95% (einseitig)</t>
  </si>
  <si>
    <t>99% (zweiseitig)</t>
  </si>
  <si>
    <t>99% (einseitig)</t>
  </si>
  <si>
    <t>68% (zweiseitig)</t>
  </si>
  <si>
    <t>95% (zweiseitig)</t>
  </si>
  <si>
    <t>90% (zweiseitig)</t>
  </si>
  <si>
    <t>SD</t>
  </si>
  <si>
    <t>normscale</t>
  </si>
  <si>
    <t>scale</t>
  </si>
  <si>
    <t>scales</t>
  </si>
  <si>
    <t>legend</t>
  </si>
  <si>
    <t>CI</t>
  </si>
  <si>
    <t>confidence</t>
  </si>
  <si>
    <t>sub</t>
  </si>
  <si>
    <t>tails</t>
  </si>
  <si>
    <t>alpha</t>
  </si>
  <si>
    <t>Versatz</t>
  </si>
  <si>
    <t>ohne</t>
  </si>
  <si>
    <t>minimal</t>
  </si>
  <si>
    <t>maximal</t>
  </si>
  <si>
    <t>errorbars</t>
  </si>
  <si>
    <t>average</t>
  </si>
  <si>
    <t>offset</t>
  </si>
  <si>
    <t>value</t>
  </si>
  <si>
    <t>(für Zeilenumbruch: Tastenkombination ALT+Enter)</t>
  </si>
  <si>
    <t>Vertrauenswahrscheinlichkeit:</t>
  </si>
  <si>
    <t>Werteversatz:</t>
  </si>
  <si>
    <t>Auswertung</t>
  </si>
  <si>
    <t>Seite 1 von 4</t>
  </si>
  <si>
    <t>Seite 2 von 4</t>
  </si>
  <si>
    <t>Seite 3 von 4</t>
  </si>
  <si>
    <t>Seite 4 von 4</t>
  </si>
  <si>
    <t>Seite 1 von 3</t>
  </si>
  <si>
    <t>Seite 2 von 3</t>
  </si>
  <si>
    <t>Seite 3 von 3</t>
  </si>
  <si>
    <t>Mustermann, Max</t>
  </si>
  <si>
    <t>Mustermann, Erika</t>
  </si>
  <si>
    <t>Lehrerin</t>
  </si>
  <si>
    <t>3 Monate</t>
  </si>
  <si>
    <r>
      <t xml:space="preserve">Zur Auswertung des SEC-I-SR tragen Sie die numerischen Werte der Antworten auf die einzelnen Items der Selbsteinschätzung in die dafür vorgesehenen Felder der </t>
    </r>
    <r>
      <rPr>
        <b/>
        <sz val="12"/>
        <color rgb="FF003399"/>
        <rFont val="Arial"/>
        <family val="2"/>
      </rPr>
      <t>Anworttabelle</t>
    </r>
    <r>
      <rPr>
        <sz val="12"/>
        <color theme="1"/>
        <rFont val="Arial"/>
        <family val="2"/>
      </rPr>
      <t xml:space="preserve"> auf Seite 2 (in die Spalte </t>
    </r>
    <r>
      <rPr>
        <i/>
        <sz val="12"/>
        <color theme="1"/>
        <rFont val="Arial"/>
        <family val="2"/>
      </rPr>
      <t>Rohwert</t>
    </r>
    <r>
      <rPr>
        <sz val="12"/>
        <color theme="1"/>
        <rFont val="Arial"/>
        <family val="2"/>
      </rPr>
      <t xml:space="preserve">) ein. Die verbalen Anker entsprechen dabei den folgenden numerischen Werten: </t>
    </r>
    <r>
      <rPr>
        <b/>
        <sz val="12"/>
        <color rgb="FF003399"/>
        <rFont val="Arial"/>
        <family val="2"/>
      </rPr>
      <t>nie = 1, selten = 2, gelegentlich = 3, häufig = 4, immer = 5</t>
    </r>
    <r>
      <rPr>
        <sz val="12"/>
        <rFont val="Arial"/>
        <family val="2"/>
      </rPr>
      <t xml:space="preserve">. Wurde beispielsweise bei Item 1 </t>
    </r>
    <r>
      <rPr>
        <i/>
        <sz val="12"/>
        <rFont val="Arial"/>
        <family val="2"/>
      </rPr>
      <t>gelegentlich</t>
    </r>
    <r>
      <rPr>
        <sz val="12"/>
        <rFont val="Arial"/>
        <family val="2"/>
      </rPr>
      <t xml:space="preserve"> angekreuzt, tragen Sie in der Antworttabelle für Item 1 in die Spalte Rohwert den Wert 3 ein. Das Ergebnis wird dann automatisch in die </t>
    </r>
    <r>
      <rPr>
        <b/>
        <sz val="12"/>
        <color rgb="FF003399"/>
        <rFont val="Arial"/>
        <family val="2"/>
      </rPr>
      <t>Ergebnistabelle</t>
    </r>
    <r>
      <rPr>
        <sz val="12"/>
        <rFont val="Arial"/>
        <family val="2"/>
      </rPr>
      <t xml:space="preserve"> des Profilbogens eingetragen.</t>
    </r>
  </si>
  <si>
    <r>
      <t xml:space="preserve">Zur Auswertung des SEC-I-OR tragen Sie die numerischen Werte der Antworten auf die einzelnen Items der Fremdeinschätzung in die dafür vorgesehenen Felder der </t>
    </r>
    <r>
      <rPr>
        <b/>
        <sz val="12"/>
        <color rgb="FF003399"/>
        <rFont val="Arial"/>
        <family val="2"/>
      </rPr>
      <t>Anworttabelle</t>
    </r>
    <r>
      <rPr>
        <sz val="12"/>
        <color theme="1"/>
        <rFont val="Arial"/>
        <family val="2"/>
      </rPr>
      <t xml:space="preserve"> auf Seite 2 (in die Spalte </t>
    </r>
    <r>
      <rPr>
        <i/>
        <sz val="12"/>
        <color theme="1"/>
        <rFont val="Arial"/>
        <family val="2"/>
      </rPr>
      <t>Rohwert</t>
    </r>
    <r>
      <rPr>
        <sz val="12"/>
        <color theme="1"/>
        <rFont val="Arial"/>
        <family val="2"/>
      </rPr>
      <t xml:space="preserve">) ein. Die verbalen Anker entsprechen dabei den folgenden numerischen Werten: </t>
    </r>
    <r>
      <rPr>
        <b/>
        <sz val="12"/>
        <color rgb="FF003399"/>
        <rFont val="Arial"/>
        <family val="2"/>
      </rPr>
      <t>nie = 1, selten = 2, gelegentlich = 3, häufig = 4, immer = 5</t>
    </r>
    <r>
      <rPr>
        <sz val="12"/>
        <rFont val="Arial"/>
        <family val="2"/>
      </rPr>
      <t xml:space="preserve">. Wurde beispielsweise bei Item 1 </t>
    </r>
    <r>
      <rPr>
        <i/>
        <sz val="12"/>
        <rFont val="Arial"/>
        <family val="2"/>
      </rPr>
      <t>gelegentlich</t>
    </r>
    <r>
      <rPr>
        <sz val="12"/>
        <rFont val="Arial"/>
        <family val="2"/>
      </rPr>
      <t xml:space="preserve"> angekreuzt, tragen Sie in der Antworttabelle für Item 1 in die Spalte Rohwert den Wert 3 ein. Das Ergebnis wird dann automatisch in die </t>
    </r>
    <r>
      <rPr>
        <b/>
        <sz val="12"/>
        <color rgb="FF003399"/>
        <rFont val="Arial"/>
        <family val="2"/>
      </rPr>
      <t>Ergebnistabelle</t>
    </r>
    <r>
      <rPr>
        <sz val="12"/>
        <rFont val="Arial"/>
        <family val="2"/>
      </rPr>
      <t xml:space="preserve"> des Profilbogens eingetragen.</t>
    </r>
  </si>
  <si>
    <t>Hier können beobachtete Auffälligkeiten im Verhalten der Testperson während der Erhebung eingetragen werden.</t>
  </si>
  <si>
    <t>Hier können Anmerkungen zur Fremdeinschätzung eingetragen werden.</t>
  </si>
  <si>
    <t>Hier können Anmerkungen zur Interpretation und Ergebnisrückmeldung eingetragen werden.</t>
  </si>
  <si>
    <t>Bekanntheit</t>
  </si>
  <si>
    <t>&lt; 1 Monat</t>
  </si>
  <si>
    <t>2 Monate</t>
  </si>
  <si>
    <t>4 Monate</t>
  </si>
  <si>
    <t>5 Monate</t>
  </si>
  <si>
    <t>6 Monate</t>
  </si>
  <si>
    <t>7 Monate</t>
  </si>
  <si>
    <t>8 Monate</t>
  </si>
  <si>
    <t>9 Monate</t>
  </si>
  <si>
    <t>10 Monate</t>
  </si>
  <si>
    <t>11 Monate</t>
  </si>
  <si>
    <t>12 Monate</t>
  </si>
  <si>
    <t>13 Monate</t>
  </si>
  <si>
    <t>14 Monate</t>
  </si>
  <si>
    <t>15 Monate</t>
  </si>
  <si>
    <t>16 Monate</t>
  </si>
  <si>
    <t>17 Monate</t>
  </si>
  <si>
    <t>18 Monate</t>
  </si>
  <si>
    <t>19 Monate</t>
  </si>
  <si>
    <t>20 Monate</t>
  </si>
  <si>
    <t>21 Monate</t>
  </si>
  <si>
    <t>22 Monate</t>
  </si>
  <si>
    <t>23 Monate</t>
  </si>
  <si>
    <t>24 Monate</t>
  </si>
  <si>
    <t>&gt; 24 Monate</t>
  </si>
  <si>
    <t>Selbsteinschätzung</t>
  </si>
  <si>
    <t>Fremdeinschätzung</t>
  </si>
  <si>
    <r>
      <t xml:space="preserve">Zur Auswertung des SEC-SJT tragen Sie die für die einzelnen Items des Situational Judgement Tests angekreuzte Antwortalternative in die dafür vorgesehenen Felder der </t>
    </r>
    <r>
      <rPr>
        <b/>
        <sz val="12"/>
        <color rgb="FF003399"/>
        <rFont val="Arial"/>
        <family val="2"/>
      </rPr>
      <t>Anworttabelle</t>
    </r>
    <r>
      <rPr>
        <sz val="12"/>
        <color theme="1"/>
        <rFont val="Arial"/>
        <family val="2"/>
      </rPr>
      <t xml:space="preserve"> auf Seite 2 (in die Spalte </t>
    </r>
    <r>
      <rPr>
        <i/>
        <sz val="12"/>
        <color theme="1"/>
        <rFont val="Arial"/>
        <family val="2"/>
      </rPr>
      <t>Antwortalternative</t>
    </r>
    <r>
      <rPr>
        <sz val="12"/>
        <color theme="1"/>
        <rFont val="Arial"/>
        <family val="2"/>
      </rPr>
      <t xml:space="preserve">) ein. Wurde beispielsweise bei Item 1 die dritte Antwortalternative angekreuzt, tragen Sie in der </t>
    </r>
    <r>
      <rPr>
        <b/>
        <sz val="12"/>
        <color rgb="FF003399"/>
        <rFont val="Arial"/>
        <family val="2"/>
      </rPr>
      <t>Antworttabelle</t>
    </r>
    <r>
      <rPr>
        <sz val="12"/>
        <color theme="1"/>
        <rFont val="Arial"/>
        <family val="2"/>
      </rPr>
      <t xml:space="preserve"> für Item 1 in die Spalte </t>
    </r>
    <r>
      <rPr>
        <i/>
        <sz val="12"/>
        <color theme="1"/>
        <rFont val="Arial"/>
        <family val="2"/>
      </rPr>
      <t>Antwortalternative</t>
    </r>
    <r>
      <rPr>
        <sz val="12"/>
        <color theme="1"/>
        <rFont val="Arial"/>
        <family val="2"/>
      </rPr>
      <t xml:space="preserve"> den Wert 3 ein.</t>
    </r>
    <r>
      <rPr>
        <sz val="12"/>
        <rFont val="Arial"/>
        <family val="2"/>
      </rPr>
      <t xml:space="preserve"> Das Ergebnis wird dann automatisch in die </t>
    </r>
    <r>
      <rPr>
        <b/>
        <sz val="12"/>
        <color rgb="FF003399"/>
        <rFont val="Arial"/>
        <family val="2"/>
      </rPr>
      <t>Ergebnistabelle</t>
    </r>
    <r>
      <rPr>
        <sz val="12"/>
        <rFont val="Arial"/>
        <family val="2"/>
      </rPr>
      <t xml:space="preserve"> des Profilbogens eingetragen.</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</si>
</sst>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2"/>
      <color theme="1"/>
      <name val="Arial"/>
      <family val="2"/>
    </font>
    <font>
      <b/>
      <sz val="12"/>
      <color theme="1"/>
      <name val="Arial"/>
      <family val="2"/>
    </font>
    <font>
      <b/>
      <sz val="12"/>
      <color rgb="FF003399"/>
      <name val="Arial"/>
      <family val="2"/>
    </font>
    <font>
      <i/>
      <sz val="12"/>
      <color theme="1"/>
      <name val="Arial"/>
      <family val="2"/>
    </font>
    <font>
      <sz val="11"/>
      <color theme="1"/>
      <name val="Arial"/>
      <family val="2"/>
    </font>
    <font>
      <b/>
      <sz val="11"/>
      <color theme="1"/>
      <name val="Arial"/>
      <family val="2"/>
    </font>
    <font>
      <b/>
      <sz val="11"/>
      <color theme="1"/>
      <name val="Calibri"/>
      <family val="2"/>
      <scheme val="minor"/>
    </font>
    <font>
      <sz val="12"/>
      <color rgb="FFB2C1E0"/>
      <name val="Arial"/>
      <family val="2"/>
    </font>
    <font>
      <i/>
      <sz val="12"/>
      <name val="Arial"/>
      <family val="2"/>
    </font>
    <font>
      <i/>
      <sz val="12"/>
      <color theme="0" tint="-0.499984740745262"/>
      <name val="Arial"/>
      <family val="2"/>
    </font>
    <font>
      <i/>
      <sz val="12"/>
      <color theme="1" tint="0.499984740745262"/>
      <name val="Arial"/>
      <family val="2"/>
    </font>
    <font>
      <sz val="12"/>
      <name val="Arial"/>
      <family val="2"/>
    </font>
    <font>
      <sz val="10"/>
      <color theme="1"/>
      <name val="Arial"/>
      <family val="2"/>
    </font>
    <font>
      <b/>
      <sz val="11"/>
      <color rgb="FF003399"/>
      <name val="Arial"/>
      <family val="2"/>
    </font>
  </fonts>
  <fills count="4">
    <fill>
      <patternFill patternType="none"/>
    </fill>
    <fill>
      <patternFill patternType="gray125"/>
    </fill>
    <fill>
      <patternFill patternType="solid">
        <fgColor rgb="FFB2C1E0"/>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0">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0" xfId="0" applyFont="1" applyFill="1" applyBorder="1"/>
    <xf numFmtId="0" fontId="1" fillId="0" borderId="0" xfId="0" applyFont="1" applyFill="1"/>
    <xf numFmtId="0" fontId="1" fillId="2" borderId="1" xfId="0" applyFont="1" applyFill="1" applyBorder="1" applyAlignment="1">
      <alignment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3" fillId="0" borderId="0" xfId="0" applyFont="1" applyAlignment="1">
      <alignment vertical="center"/>
    </xf>
    <xf numFmtId="0" fontId="1" fillId="0" borderId="0" xfId="0" applyFont="1" applyBorder="1" applyAlignment="1">
      <alignment vertical="center"/>
    </xf>
    <xf numFmtId="0" fontId="1" fillId="0" borderId="0" xfId="0" applyFont="1" applyFill="1" applyBorder="1" applyAlignment="1">
      <alignment vertical="center"/>
    </xf>
    <xf numFmtId="0" fontId="0" fillId="0" borderId="0" xfId="0" applyAlignment="1">
      <alignment horizontal="center"/>
    </xf>
    <xf numFmtId="0" fontId="7" fillId="0" borderId="0" xfId="0" applyFont="1"/>
    <xf numFmtId="0" fontId="0" fillId="0" borderId="0" xfId="0" applyNumberFormat="1"/>
    <xf numFmtId="0" fontId="7" fillId="0" borderId="0" xfId="0" applyFont="1" applyAlignment="1">
      <alignment horizontal="center"/>
    </xf>
    <xf numFmtId="0" fontId="11" fillId="0" borderId="0" xfId="0" applyFont="1" applyAlignment="1">
      <alignment horizontal="left" vertical="center"/>
    </xf>
    <xf numFmtId="0" fontId="1" fillId="0" borderId="0" xfId="0" applyFont="1" applyFill="1" applyBorder="1" applyAlignment="1">
      <alignment vertical="top" wrapText="1"/>
    </xf>
    <xf numFmtId="0" fontId="1" fillId="0" borderId="0" xfId="0" applyFont="1" applyFill="1" applyBorder="1" applyAlignment="1">
      <alignment wrapText="1"/>
    </xf>
    <xf numFmtId="0" fontId="1" fillId="0" borderId="0" xfId="0" applyFont="1" applyFill="1" applyBorder="1" applyAlignment="1">
      <alignment horizontal="left" wrapText="1"/>
    </xf>
    <xf numFmtId="0" fontId="13" fillId="0" borderId="0" xfId="0" applyFont="1" applyAlignment="1">
      <alignment horizontal="center" vertical="center"/>
    </xf>
    <xf numFmtId="0" fontId="1" fillId="0" borderId="0" xfId="0" applyFont="1" applyBorder="1" applyAlignment="1" applyProtection="1">
      <alignment vertical="top"/>
    </xf>
    <xf numFmtId="0" fontId="1" fillId="0" borderId="0" xfId="0" applyNumberFormat="1" applyFont="1" applyFill="1" applyBorder="1" applyAlignment="1" applyProtection="1">
      <alignment vertical="center"/>
    </xf>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0" fontId="1" fillId="0" borderId="0" xfId="0" applyNumberFormat="1" applyFont="1" applyFill="1" applyBorder="1" applyAlignment="1" applyProtection="1">
      <alignment vertical="top" wrapText="1"/>
    </xf>
    <xf numFmtId="0" fontId="1" fillId="0" borderId="0" xfId="0" applyNumberFormat="1" applyFont="1" applyFill="1" applyBorder="1" applyAlignment="1" applyProtection="1">
      <alignment horizontal="left" vertical="top" wrapText="1"/>
    </xf>
    <xf numFmtId="0" fontId="1" fillId="0" borderId="0" xfId="0" applyNumberFormat="1" applyFont="1" applyFill="1" applyBorder="1" applyAlignment="1" applyProtection="1">
      <alignment horizontal="left" wrapText="1"/>
    </xf>
    <xf numFmtId="0" fontId="1" fillId="0" borderId="0" xfId="0" applyNumberFormat="1" applyFont="1" applyBorder="1" applyAlignment="1" applyProtection="1"/>
    <xf numFmtId="0" fontId="1" fillId="0" borderId="0" xfId="0" applyNumberFormat="1" applyFont="1" applyBorder="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Border="1" applyAlignment="1" applyProtection="1">
      <alignment horizontal="left" vertical="center"/>
    </xf>
    <xf numFmtId="0" fontId="1" fillId="0" borderId="0" xfId="0" applyNumberFormat="1" applyFont="1" applyBorder="1" applyAlignment="1" applyProtection="1">
      <alignment horizontal="left" vertical="center" wrapText="1"/>
    </xf>
    <xf numFmtId="0" fontId="1" fillId="0" borderId="1" xfId="0" applyFont="1" applyFill="1" applyBorder="1" applyAlignment="1">
      <alignment horizontal="right" vertical="center"/>
    </xf>
    <xf numFmtId="0" fontId="1" fillId="0" borderId="0" xfId="0" applyFont="1" applyFill="1" applyBorder="1" applyAlignment="1">
      <alignment horizontal="left" vertical="top" wrapText="1"/>
    </xf>
    <xf numFmtId="0" fontId="4" fillId="0" borderId="1" xfId="0" applyFont="1" applyFill="1" applyBorder="1" applyAlignment="1" applyProtection="1">
      <alignment horizontal="center" vertical="center"/>
      <protection locked="0"/>
    </xf>
    <xf numFmtId="0" fontId="2" fillId="0" borderId="1" xfId="0" applyFont="1" applyFill="1" applyBorder="1" applyAlignment="1">
      <alignment horizontal="center" vertical="center"/>
    </xf>
    <xf numFmtId="0" fontId="1" fillId="0" borderId="0" xfId="0" applyFont="1" applyAlignment="1">
      <alignment horizontal="left" vertical="center"/>
    </xf>
    <xf numFmtId="0" fontId="4" fillId="0" borderId="8" xfId="0" applyFont="1" applyFill="1" applyBorder="1" applyAlignment="1" applyProtection="1">
      <alignment horizontal="left" vertical="center"/>
      <protection locked="0"/>
    </xf>
    <xf numFmtId="0" fontId="3" fillId="0" borderId="0" xfId="0" applyFont="1" applyAlignment="1">
      <alignment horizontal="left" vertical="center"/>
    </xf>
    <xf numFmtId="0" fontId="2" fillId="2" borderId="1" xfId="0" applyFont="1" applyFill="1" applyBorder="1" applyAlignment="1">
      <alignment horizontal="right" vertical="center"/>
    </xf>
    <xf numFmtId="0" fontId="1" fillId="2" borderId="1" xfId="0" applyFont="1" applyFill="1" applyBorder="1" applyAlignment="1">
      <alignment horizontal="center" vertical="center"/>
    </xf>
    <xf numFmtId="0" fontId="1" fillId="3" borderId="1" xfId="0" applyFont="1" applyFill="1" applyBorder="1" applyAlignment="1">
      <alignment horizontal="right" vertical="center"/>
    </xf>
    <xf numFmtId="0" fontId="4" fillId="0" borderId="9"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14" fontId="4" fillId="0" borderId="11"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4" fillId="0" borderId="11" xfId="0" applyFont="1" applyFill="1" applyBorder="1" applyAlignment="1" applyProtection="1">
      <alignment horizontal="left" vertical="center"/>
      <protection locked="0"/>
    </xf>
    <xf numFmtId="0" fontId="1" fillId="3" borderId="1" xfId="0" applyFont="1" applyFill="1" applyBorder="1" applyAlignment="1">
      <alignment horizontal="center" vertical="center"/>
    </xf>
    <xf numFmtId="0" fontId="3" fillId="0" borderId="0" xfId="0" applyFont="1" applyAlignment="1">
      <alignment vertical="center"/>
    </xf>
    <xf numFmtId="0" fontId="4" fillId="0" borderId="0" xfId="0" applyFont="1" applyAlignment="1">
      <alignment horizontal="left" vertical="center"/>
    </xf>
    <xf numFmtId="0" fontId="1" fillId="0" borderId="1" xfId="0" applyFont="1" applyBorder="1" applyAlignment="1">
      <alignment horizontal="right" vertical="center"/>
    </xf>
    <xf numFmtId="0" fontId="1" fillId="0" borderId="1" xfId="0" applyFont="1" applyBorder="1" applyAlignment="1" applyProtection="1">
      <alignment horizontal="center" vertical="center"/>
      <protection locked="0"/>
    </xf>
    <xf numFmtId="0" fontId="1" fillId="0" borderId="3" xfId="0" applyFont="1" applyFill="1" applyBorder="1" applyAlignment="1">
      <alignment horizontal="right" vertical="center"/>
    </xf>
    <xf numFmtId="0" fontId="1" fillId="0" borderId="4" xfId="0" applyFont="1" applyFill="1" applyBorder="1" applyAlignment="1">
      <alignment horizontal="right" vertical="center"/>
    </xf>
    <xf numFmtId="0" fontId="1" fillId="2" borderId="3"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3"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center"/>
    </xf>
    <xf numFmtId="0" fontId="1" fillId="3" borderId="3"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4" xfId="0" applyFont="1" applyFill="1" applyBorder="1" applyAlignment="1">
      <alignment horizontal="center" vertical="center"/>
    </xf>
    <xf numFmtId="0" fontId="4" fillId="0" borderId="11" xfId="0" applyFont="1" applyBorder="1" applyAlignment="1" applyProtection="1">
      <alignment horizontal="left" vertical="center"/>
      <protection locked="0"/>
    </xf>
    <xf numFmtId="0" fontId="1" fillId="0" borderId="0" xfId="0" applyFont="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0" borderId="3" xfId="0" applyFont="1" applyFill="1" applyBorder="1" applyAlignment="1">
      <alignment horizontal="right" vertical="center"/>
    </xf>
    <xf numFmtId="0" fontId="5" fillId="0" borderId="4" xfId="0" applyFont="1" applyFill="1" applyBorder="1" applyAlignment="1">
      <alignment horizontal="righ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0" fontId="14" fillId="0" borderId="3" xfId="0" applyFont="1" applyFill="1" applyBorder="1" applyAlignment="1">
      <alignment horizontal="right" vertical="center"/>
    </xf>
    <xf numFmtId="0" fontId="14" fillId="0" borderId="4" xfId="0" applyFont="1" applyFill="1" applyBorder="1" applyAlignment="1">
      <alignment horizontal="right" vertical="center"/>
    </xf>
    <xf numFmtId="0" fontId="5" fillId="3" borderId="3" xfId="0" applyFont="1" applyFill="1" applyBorder="1" applyAlignment="1">
      <alignment horizontal="right" vertical="center"/>
    </xf>
    <xf numFmtId="0" fontId="5" fillId="3" borderId="4" xfId="0" applyFont="1" applyFill="1" applyBorder="1" applyAlignment="1">
      <alignment horizontal="right" vertical="center"/>
    </xf>
    <xf numFmtId="0" fontId="4" fillId="0" borderId="11" xfId="0" applyFont="1" applyFill="1" applyBorder="1" applyAlignment="1">
      <alignment horizontal="left" vertical="center"/>
    </xf>
    <xf numFmtId="0" fontId="4" fillId="0" borderId="8" xfId="0" applyFont="1" applyFill="1" applyBorder="1" applyAlignment="1">
      <alignment horizontal="left" vertical="center"/>
    </xf>
    <xf numFmtId="14" fontId="4" fillId="0" borderId="8" xfId="0" applyNumberFormat="1" applyFont="1" applyFill="1" applyBorder="1" applyAlignment="1">
      <alignment horizontal="left" vertical="center"/>
    </xf>
    <xf numFmtId="0" fontId="10" fillId="0" borderId="0" xfId="0" applyFont="1" applyAlignment="1">
      <alignment horizontal="left" vertical="center"/>
    </xf>
  </cellXfs>
  <cellStyles count="1">
    <cellStyle name="Standard" xfId="0" builtinId="0"/>
  </cellStyles>
  <dxfs count="0"/>
  <tableStyles count="0" defaultTableStyle="TableStyleMedium2" defaultPivotStyle="PivotStyleLight16"/>
  <colors>
    <mruColors>
      <color rgb="FF003399"/>
      <color rgb="FFB2C1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profile!$E$7</c:f>
              <c:strCache>
                <c:ptCount val="1"/>
                <c:pt idx="0">
                  <c:v>M-1s</c:v>
                </c:pt>
              </c:strCache>
            </c:strRef>
          </c:tx>
          <c:spPr>
            <a:solidFill>
              <a:srgbClr val="003399">
                <a:alpha val="30000"/>
              </a:srgbClr>
            </a:solidFill>
            <a:ln>
              <a:noFill/>
            </a:ln>
            <a:effectLst/>
          </c:spPr>
          <c:invertIfNegative val="0"/>
          <c:cat>
            <c:strRef>
              <c:f>profile!$B$7:$B$15</c:f>
              <c:strCache>
                <c:ptCount val="9"/>
                <c:pt idx="0">
                  <c:v>SEC</c:v>
                </c:pt>
                <c:pt idx="1">
                  <c:v>EBE</c:v>
                </c:pt>
                <c:pt idx="2">
                  <c:v>ECO</c:v>
                </c:pt>
                <c:pt idx="3">
                  <c:v>PEA</c:v>
                </c:pt>
                <c:pt idx="4">
                  <c:v>PES</c:v>
                </c:pt>
                <c:pt idx="5">
                  <c:v>REA</c:v>
                </c:pt>
                <c:pt idx="6">
                  <c:v>RES</c:v>
                </c:pt>
                <c:pt idx="7">
                  <c:v>SOB</c:v>
                </c:pt>
                <c:pt idx="8">
                  <c:v>SON</c:v>
                </c:pt>
              </c:strCache>
            </c:strRef>
          </c:cat>
          <c:val>
            <c:numRef>
              <c:f>profile!$E$8:$E$16</c:f>
              <c:numCache>
                <c:formatCode>General</c:formatCode>
                <c:ptCount val="9"/>
                <c:pt idx="0">
                  <c:v>40</c:v>
                </c:pt>
                <c:pt idx="1">
                  <c:v>40</c:v>
                </c:pt>
                <c:pt idx="2">
                  <c:v>40</c:v>
                </c:pt>
                <c:pt idx="3">
                  <c:v>40</c:v>
                </c:pt>
                <c:pt idx="4">
                  <c:v>40</c:v>
                </c:pt>
                <c:pt idx="5">
                  <c:v>40</c:v>
                </c:pt>
                <c:pt idx="6">
                  <c:v>40</c:v>
                </c:pt>
                <c:pt idx="7">
                  <c:v>40</c:v>
                </c:pt>
                <c:pt idx="8">
                  <c:v>40</c:v>
                </c:pt>
              </c:numCache>
            </c:numRef>
          </c:val>
          <c:extLst xmlns:c16r2="http://schemas.microsoft.com/office/drawing/2015/06/chart">
            <c:ext xmlns:c16="http://schemas.microsoft.com/office/drawing/2014/chart" uri="{C3380CC4-5D6E-409C-BE32-E72D297353CC}">
              <c16:uniqueId val="{00000000-F4AB-4D4A-B6AF-C67EA8B4B84A}"/>
            </c:ext>
          </c:extLst>
        </c:ser>
        <c:ser>
          <c:idx val="3"/>
          <c:order val="5"/>
          <c:tx>
            <c:strRef>
              <c:f>profile!$F$7</c:f>
              <c:strCache>
                <c:ptCount val="1"/>
                <c:pt idx="0">
                  <c:v>M+1s</c:v>
                </c:pt>
              </c:strCache>
            </c:strRef>
          </c:tx>
          <c:spPr>
            <a:solidFill>
              <a:srgbClr val="003399">
                <a:alpha val="30196"/>
              </a:srgbClr>
            </a:solidFill>
            <a:ln>
              <a:noFill/>
            </a:ln>
            <a:effectLst/>
          </c:spPr>
          <c:invertIfNegative val="0"/>
          <c:cat>
            <c:strRef>
              <c:f>profile!$B$7:$B$15</c:f>
              <c:strCache>
                <c:ptCount val="9"/>
                <c:pt idx="0">
                  <c:v>SEC</c:v>
                </c:pt>
                <c:pt idx="1">
                  <c:v>EBE</c:v>
                </c:pt>
                <c:pt idx="2">
                  <c:v>ECO</c:v>
                </c:pt>
                <c:pt idx="3">
                  <c:v>PEA</c:v>
                </c:pt>
                <c:pt idx="4">
                  <c:v>PES</c:v>
                </c:pt>
                <c:pt idx="5">
                  <c:v>REA</c:v>
                </c:pt>
                <c:pt idx="6">
                  <c:v>RES</c:v>
                </c:pt>
                <c:pt idx="7">
                  <c:v>SOB</c:v>
                </c:pt>
                <c:pt idx="8">
                  <c:v>SON</c:v>
                </c:pt>
              </c:strCache>
            </c:strRef>
          </c:cat>
          <c:val>
            <c:numRef>
              <c:f>profile!$F$8:$F$16</c:f>
              <c:numCache>
                <c:formatCode>General</c:formatCode>
                <c:ptCount val="9"/>
                <c:pt idx="0">
                  <c:v>60</c:v>
                </c:pt>
                <c:pt idx="1">
                  <c:v>60</c:v>
                </c:pt>
                <c:pt idx="2">
                  <c:v>60</c:v>
                </c:pt>
                <c:pt idx="3">
                  <c:v>60</c:v>
                </c:pt>
                <c:pt idx="4">
                  <c:v>60</c:v>
                </c:pt>
                <c:pt idx="5">
                  <c:v>60</c:v>
                </c:pt>
                <c:pt idx="6">
                  <c:v>60</c:v>
                </c:pt>
                <c:pt idx="7">
                  <c:v>60</c:v>
                </c:pt>
                <c:pt idx="8">
                  <c:v>60</c:v>
                </c:pt>
              </c:numCache>
            </c:numRef>
          </c:val>
          <c:extLst xmlns:c16r2="http://schemas.microsoft.com/office/drawing/2015/06/chart">
            <c:ext xmlns:c16="http://schemas.microsoft.com/office/drawing/2014/chart" uri="{C3380CC4-5D6E-409C-BE32-E72D297353CC}">
              <c16:uniqueId val="{00000001-F4AB-4D4A-B6AF-C67EA8B4B84A}"/>
            </c:ext>
          </c:extLst>
        </c:ser>
        <c:dLbls>
          <c:showLegendKey val="0"/>
          <c:showVal val="0"/>
          <c:showCatName val="0"/>
          <c:showSerName val="0"/>
          <c:showPercent val="0"/>
          <c:showBubbleSize val="0"/>
        </c:dLbls>
        <c:gapWidth val="0"/>
        <c:overlap val="100"/>
        <c:axId val="103914024"/>
        <c:axId val="103985040"/>
      </c:barChart>
      <c:scatterChart>
        <c:scatterStyle val="lineMarker"/>
        <c:varyColors val="0"/>
        <c:ser>
          <c:idx val="0"/>
          <c:order val="0"/>
          <c:tx>
            <c:strRef>
              <c:f>profile!$G$21</c:f>
              <c:strCache>
                <c:ptCount val="1"/>
                <c:pt idx="0">
                  <c:v>global</c:v>
                </c:pt>
              </c:strCache>
            </c:strRef>
          </c:tx>
          <c:spPr>
            <a:ln w="25400" cap="rnd">
              <a:noFill/>
              <a:round/>
            </a:ln>
            <a:effectLst/>
          </c:spPr>
          <c:marker>
            <c:symbol val="x"/>
            <c:size val="5"/>
            <c:spPr>
              <a:noFill/>
              <a:ln w="12700">
                <a:solidFill>
                  <a:srgbClr val="003399"/>
                </a:solidFill>
              </a:ln>
              <a:effectLst/>
            </c:spPr>
          </c:marker>
          <c:errBars>
            <c:errDir val="y"/>
            <c:errBarType val="both"/>
            <c:errValType val="cust"/>
            <c:noEndCap val="1"/>
            <c:plus>
              <c:numRef>
                <c:f>profile!$I$22:$I$30</c:f>
                <c:numCache>
                  <c:formatCode>General</c:formatCode>
                  <c:ptCount val="9"/>
                  <c:pt idx="0">
                    <c:v>5</c:v>
                  </c:pt>
                  <c:pt idx="1">
                    <c:v>9</c:v>
                  </c:pt>
                  <c:pt idx="2">
                    <c:v>10</c:v>
                  </c:pt>
                  <c:pt idx="3">
                    <c:v>10</c:v>
                  </c:pt>
                  <c:pt idx="4">
                    <c:v>9</c:v>
                  </c:pt>
                  <c:pt idx="5">
                    <c:v>8</c:v>
                  </c:pt>
                  <c:pt idx="6">
                    <c:v>10</c:v>
                  </c:pt>
                  <c:pt idx="7">
                    <c:v>9</c:v>
                  </c:pt>
                  <c:pt idx="8">
                    <c:v>11</c:v>
                  </c:pt>
                </c:numCache>
              </c:numRef>
            </c:plus>
            <c:minus>
              <c:numRef>
                <c:f>profile!$I$22:$I$30</c:f>
                <c:numCache>
                  <c:formatCode>General</c:formatCode>
                  <c:ptCount val="9"/>
                  <c:pt idx="0">
                    <c:v>5</c:v>
                  </c:pt>
                  <c:pt idx="1">
                    <c:v>9</c:v>
                  </c:pt>
                  <c:pt idx="2">
                    <c:v>10</c:v>
                  </c:pt>
                  <c:pt idx="3">
                    <c:v>10</c:v>
                  </c:pt>
                  <c:pt idx="4">
                    <c:v>9</c:v>
                  </c:pt>
                  <c:pt idx="5">
                    <c:v>8</c:v>
                  </c:pt>
                  <c:pt idx="6">
                    <c:v>10</c:v>
                  </c:pt>
                  <c:pt idx="7">
                    <c:v>9</c:v>
                  </c:pt>
                  <c:pt idx="8">
                    <c:v>11</c:v>
                  </c:pt>
                </c:numCache>
              </c:numRef>
            </c:minus>
            <c:spPr>
              <a:noFill/>
              <a:ln w="50800" cap="flat" cmpd="sng" algn="ctr">
                <a:solidFill>
                  <a:srgbClr val="003399">
                    <a:alpha val="50000"/>
                  </a:srgbClr>
                </a:solidFill>
                <a:round/>
              </a:ln>
              <a:effectLst/>
            </c:spPr>
          </c:errBars>
          <c:xVal>
            <c:numRef>
              <c:f>profile!$I$7:$I$15</c:f>
              <c:numCache>
                <c:formatCode>General</c:formatCode>
                <c:ptCount val="9"/>
                <c:pt idx="0">
                  <c:v>0.875</c:v>
                </c:pt>
                <c:pt idx="1">
                  <c:v>1.875</c:v>
                </c:pt>
                <c:pt idx="2">
                  <c:v>2.875</c:v>
                </c:pt>
                <c:pt idx="3">
                  <c:v>3.875</c:v>
                </c:pt>
                <c:pt idx="4">
                  <c:v>4.875</c:v>
                </c:pt>
                <c:pt idx="5">
                  <c:v>5.875</c:v>
                </c:pt>
                <c:pt idx="6">
                  <c:v>6.875</c:v>
                </c:pt>
                <c:pt idx="7">
                  <c:v>7.875</c:v>
                </c:pt>
                <c:pt idx="8">
                  <c:v>8.875</c:v>
                </c:pt>
              </c:numCache>
            </c:numRef>
          </c:xVal>
          <c:yVal>
            <c:numRef>
              <c:f>profile!$G$22:$G$30</c:f>
              <c:numCache>
                <c:formatCode>General</c:formatCode>
                <c:ptCount val="9"/>
                <c:pt idx="0">
                  <c:v>#N/A</c:v>
                </c:pt>
              </c:numCache>
            </c:numRef>
          </c:yVal>
          <c:smooth val="0"/>
          <c:extLst xmlns:c16r2="http://schemas.microsoft.com/office/drawing/2015/06/chart">
            <c:ext xmlns:c16="http://schemas.microsoft.com/office/drawing/2014/chart" uri="{C3380CC4-5D6E-409C-BE32-E72D297353CC}">
              <c16:uniqueId val="{00000002-F4AB-4D4A-B6AF-C67EA8B4B84A}"/>
            </c:ext>
          </c:extLst>
        </c:ser>
        <c:ser>
          <c:idx val="4"/>
          <c:order val="1"/>
          <c:tx>
            <c:strRef>
              <c:f>profile!$B$18</c:f>
              <c:strCache>
                <c:ptCount val="1"/>
                <c:pt idx="0">
                  <c:v>Selbsteinschätzung</c:v>
                </c:pt>
              </c:strCache>
            </c:strRef>
          </c:tx>
          <c:spPr>
            <a:ln w="12700" cap="rnd">
              <a:solidFill>
                <a:srgbClr val="003399"/>
              </a:solidFill>
              <a:round/>
            </a:ln>
            <a:effectLst/>
          </c:spPr>
          <c:marker>
            <c:symbol val="x"/>
            <c:size val="5"/>
            <c:spPr>
              <a:noFill/>
              <a:ln w="12700">
                <a:solidFill>
                  <a:srgbClr val="003399"/>
                </a:solidFill>
              </a:ln>
              <a:effectLst/>
            </c:spPr>
          </c:marker>
          <c:errBars>
            <c:errDir val="y"/>
            <c:errBarType val="both"/>
            <c:errValType val="cust"/>
            <c:noEndCap val="1"/>
            <c:plus>
              <c:numRef>
                <c:f>profile!$I$22:$I$30</c:f>
                <c:numCache>
                  <c:formatCode>General</c:formatCode>
                  <c:ptCount val="9"/>
                  <c:pt idx="0">
                    <c:v>5</c:v>
                  </c:pt>
                  <c:pt idx="1">
                    <c:v>9</c:v>
                  </c:pt>
                  <c:pt idx="2">
                    <c:v>10</c:v>
                  </c:pt>
                  <c:pt idx="3">
                    <c:v>10</c:v>
                  </c:pt>
                  <c:pt idx="4">
                    <c:v>9</c:v>
                  </c:pt>
                  <c:pt idx="5">
                    <c:v>8</c:v>
                  </c:pt>
                  <c:pt idx="6">
                    <c:v>10</c:v>
                  </c:pt>
                  <c:pt idx="7">
                    <c:v>9</c:v>
                  </c:pt>
                  <c:pt idx="8">
                    <c:v>11</c:v>
                  </c:pt>
                </c:numCache>
              </c:numRef>
            </c:plus>
            <c:minus>
              <c:numRef>
                <c:f>profile!$I$22:$I$30</c:f>
                <c:numCache>
                  <c:formatCode>General</c:formatCode>
                  <c:ptCount val="9"/>
                  <c:pt idx="0">
                    <c:v>5</c:v>
                  </c:pt>
                  <c:pt idx="1">
                    <c:v>9</c:v>
                  </c:pt>
                  <c:pt idx="2">
                    <c:v>10</c:v>
                  </c:pt>
                  <c:pt idx="3">
                    <c:v>10</c:v>
                  </c:pt>
                  <c:pt idx="4">
                    <c:v>9</c:v>
                  </c:pt>
                  <c:pt idx="5">
                    <c:v>8</c:v>
                  </c:pt>
                  <c:pt idx="6">
                    <c:v>10</c:v>
                  </c:pt>
                  <c:pt idx="7">
                    <c:v>9</c:v>
                  </c:pt>
                  <c:pt idx="8">
                    <c:v>11</c:v>
                  </c:pt>
                </c:numCache>
              </c:numRef>
            </c:minus>
            <c:spPr>
              <a:noFill/>
              <a:ln w="50800" cap="flat" cmpd="sng" algn="ctr">
                <a:solidFill>
                  <a:srgbClr val="003399">
                    <a:alpha val="50000"/>
                  </a:srgbClr>
                </a:solidFill>
                <a:round/>
              </a:ln>
              <a:effectLst/>
            </c:spPr>
          </c:errBars>
          <c:xVal>
            <c:numRef>
              <c:f>profile!$I$7:$I$15</c:f>
              <c:numCache>
                <c:formatCode>General</c:formatCode>
                <c:ptCount val="9"/>
                <c:pt idx="0">
                  <c:v>0.875</c:v>
                </c:pt>
                <c:pt idx="1">
                  <c:v>1.875</c:v>
                </c:pt>
                <c:pt idx="2">
                  <c:v>2.875</c:v>
                </c:pt>
                <c:pt idx="3">
                  <c:v>3.875</c:v>
                </c:pt>
                <c:pt idx="4">
                  <c:v>4.875</c:v>
                </c:pt>
                <c:pt idx="5">
                  <c:v>5.875</c:v>
                </c:pt>
                <c:pt idx="6">
                  <c:v>6.875</c:v>
                </c:pt>
                <c:pt idx="7">
                  <c:v>7.875</c:v>
                </c:pt>
                <c:pt idx="8">
                  <c:v>8.875</c:v>
                </c:pt>
              </c:numCache>
            </c:numRef>
          </c:xVal>
          <c:yVal>
            <c:numRef>
              <c:f>profile!$H$22:$H$30</c:f>
              <c:numCache>
                <c:formatCode>General</c:formatCode>
                <c:ptCount val="9"/>
                <c:pt idx="1">
                  <c:v>#N/A</c:v>
                </c:pt>
                <c:pt idx="2">
                  <c:v>#N/A</c:v>
                </c:pt>
                <c:pt idx="3">
                  <c:v>#N/A</c:v>
                </c:pt>
                <c:pt idx="4">
                  <c:v>#N/A</c:v>
                </c:pt>
                <c:pt idx="5">
                  <c:v>#N/A</c:v>
                </c:pt>
                <c:pt idx="6">
                  <c:v>#N/A</c:v>
                </c:pt>
                <c:pt idx="7">
                  <c:v>#N/A</c:v>
                </c:pt>
                <c:pt idx="8">
                  <c:v>#N/A</c:v>
                </c:pt>
              </c:numCache>
            </c:numRef>
          </c:yVal>
          <c:smooth val="0"/>
          <c:extLst xmlns:c16r2="http://schemas.microsoft.com/office/drawing/2015/06/chart">
            <c:ext xmlns:c16="http://schemas.microsoft.com/office/drawing/2014/chart" uri="{C3380CC4-5D6E-409C-BE32-E72D297353CC}">
              <c16:uniqueId val="{00000003-F4AB-4D4A-B6AF-C67EA8B4B84A}"/>
            </c:ext>
          </c:extLst>
        </c:ser>
        <c:ser>
          <c:idx val="5"/>
          <c:order val="3"/>
          <c:tx>
            <c:strRef>
              <c:f>profile!$B$19</c:f>
              <c:strCache>
                <c:ptCount val="1"/>
                <c:pt idx="0">
                  <c:v>Fremdeinschätzung</c:v>
                </c:pt>
              </c:strCache>
            </c:strRef>
          </c:tx>
          <c:spPr>
            <a:ln w="12700" cap="rnd">
              <a:solidFill>
                <a:schemeClr val="accent4">
                  <a:lumMod val="75000"/>
                </a:schemeClr>
              </a:solidFill>
              <a:round/>
            </a:ln>
            <a:effectLst/>
          </c:spPr>
          <c:marker>
            <c:symbol val="x"/>
            <c:size val="5"/>
            <c:spPr>
              <a:noFill/>
              <a:ln w="12700">
                <a:solidFill>
                  <a:schemeClr val="accent4">
                    <a:lumMod val="75000"/>
                  </a:schemeClr>
                </a:solidFill>
              </a:ln>
              <a:effectLst/>
            </c:spPr>
          </c:marker>
          <c:errBars>
            <c:errDir val="y"/>
            <c:errBarType val="both"/>
            <c:errValType val="cust"/>
            <c:noEndCap val="1"/>
            <c:plus>
              <c:numRef>
                <c:f>profile!$I$34:$I$42</c:f>
                <c:numCache>
                  <c:formatCode>General</c:formatCode>
                  <c:ptCount val="9"/>
                  <c:pt idx="0">
                    <c:v>4</c:v>
                  </c:pt>
                  <c:pt idx="1">
                    <c:v>7</c:v>
                  </c:pt>
                  <c:pt idx="2">
                    <c:v>7</c:v>
                  </c:pt>
                  <c:pt idx="3">
                    <c:v>8</c:v>
                  </c:pt>
                  <c:pt idx="4">
                    <c:v>8</c:v>
                  </c:pt>
                  <c:pt idx="5">
                    <c:v>6</c:v>
                  </c:pt>
                  <c:pt idx="6">
                    <c:v>8</c:v>
                  </c:pt>
                  <c:pt idx="7">
                    <c:v>7</c:v>
                  </c:pt>
                  <c:pt idx="8">
                    <c:v>7</c:v>
                  </c:pt>
                </c:numCache>
              </c:numRef>
            </c:plus>
            <c:minus>
              <c:numRef>
                <c:f>profile!$I$34:$I$42</c:f>
                <c:numCache>
                  <c:formatCode>General</c:formatCode>
                  <c:ptCount val="9"/>
                  <c:pt idx="0">
                    <c:v>4</c:v>
                  </c:pt>
                  <c:pt idx="1">
                    <c:v>7</c:v>
                  </c:pt>
                  <c:pt idx="2">
                    <c:v>7</c:v>
                  </c:pt>
                  <c:pt idx="3">
                    <c:v>8</c:v>
                  </c:pt>
                  <c:pt idx="4">
                    <c:v>8</c:v>
                  </c:pt>
                  <c:pt idx="5">
                    <c:v>6</c:v>
                  </c:pt>
                  <c:pt idx="6">
                    <c:v>8</c:v>
                  </c:pt>
                  <c:pt idx="7">
                    <c:v>7</c:v>
                  </c:pt>
                  <c:pt idx="8">
                    <c:v>7</c:v>
                  </c:pt>
                </c:numCache>
              </c:numRef>
            </c:minus>
            <c:spPr>
              <a:noFill/>
              <a:ln w="50800" cap="flat" cmpd="sng" algn="ctr">
                <a:solidFill>
                  <a:schemeClr val="accent4">
                    <a:lumMod val="75000"/>
                    <a:alpha val="50000"/>
                  </a:schemeClr>
                </a:solidFill>
                <a:round/>
              </a:ln>
              <a:effectLst/>
            </c:spPr>
          </c:errBars>
          <c:xVal>
            <c:numRef>
              <c:f>profile!$J$7:$J$15</c:f>
              <c:numCache>
                <c:formatCode>General</c:formatCode>
                <c:ptCount val="9"/>
                <c:pt idx="0">
                  <c:v>1.125</c:v>
                </c:pt>
                <c:pt idx="1">
                  <c:v>2.125</c:v>
                </c:pt>
                <c:pt idx="2">
                  <c:v>3.125</c:v>
                </c:pt>
                <c:pt idx="3">
                  <c:v>4.125</c:v>
                </c:pt>
                <c:pt idx="4">
                  <c:v>5.125</c:v>
                </c:pt>
                <c:pt idx="5">
                  <c:v>6.125</c:v>
                </c:pt>
                <c:pt idx="6">
                  <c:v>7.125</c:v>
                </c:pt>
                <c:pt idx="7">
                  <c:v>8.125</c:v>
                </c:pt>
                <c:pt idx="8">
                  <c:v>9.125</c:v>
                </c:pt>
              </c:numCache>
            </c:numRef>
          </c:xVal>
          <c:yVal>
            <c:numRef>
              <c:f>profile!$H$34:$H$42</c:f>
              <c:numCache>
                <c:formatCode>General</c:formatCode>
                <c:ptCount val="9"/>
                <c:pt idx="1">
                  <c:v>#N/A</c:v>
                </c:pt>
                <c:pt idx="2">
                  <c:v>#N/A</c:v>
                </c:pt>
                <c:pt idx="3">
                  <c:v>#N/A</c:v>
                </c:pt>
                <c:pt idx="4">
                  <c:v>#N/A</c:v>
                </c:pt>
                <c:pt idx="5">
                  <c:v>#N/A</c:v>
                </c:pt>
                <c:pt idx="6">
                  <c:v>#N/A</c:v>
                </c:pt>
                <c:pt idx="7">
                  <c:v>#N/A</c:v>
                </c:pt>
                <c:pt idx="8">
                  <c:v>#N/A</c:v>
                </c:pt>
              </c:numCache>
            </c:numRef>
          </c:yVal>
          <c:smooth val="0"/>
          <c:extLst xmlns:c16r2="http://schemas.microsoft.com/office/drawing/2015/06/chart">
            <c:ext xmlns:c16="http://schemas.microsoft.com/office/drawing/2014/chart" uri="{C3380CC4-5D6E-409C-BE32-E72D297353CC}">
              <c16:uniqueId val="{00000004-F4AB-4D4A-B6AF-C67EA8B4B84A}"/>
            </c:ext>
          </c:extLst>
        </c:ser>
        <c:ser>
          <c:idx val="1"/>
          <c:order val="4"/>
          <c:tx>
            <c:strRef>
              <c:f>profile!$G$33</c:f>
              <c:strCache>
                <c:ptCount val="1"/>
                <c:pt idx="0">
                  <c:v>global</c:v>
                </c:pt>
              </c:strCache>
            </c:strRef>
          </c:tx>
          <c:spPr>
            <a:ln w="25400" cap="rnd">
              <a:noFill/>
              <a:round/>
            </a:ln>
            <a:effectLst/>
          </c:spPr>
          <c:marker>
            <c:symbol val="x"/>
            <c:size val="5"/>
            <c:spPr>
              <a:noFill/>
              <a:ln w="12700">
                <a:solidFill>
                  <a:schemeClr val="accent4">
                    <a:lumMod val="75000"/>
                  </a:schemeClr>
                </a:solidFill>
              </a:ln>
              <a:effectLst/>
            </c:spPr>
          </c:marker>
          <c:errBars>
            <c:errDir val="y"/>
            <c:errBarType val="both"/>
            <c:errValType val="cust"/>
            <c:noEndCap val="1"/>
            <c:plus>
              <c:numRef>
                <c:f>profile!$I$34:$I$42</c:f>
                <c:numCache>
                  <c:formatCode>General</c:formatCode>
                  <c:ptCount val="9"/>
                  <c:pt idx="0">
                    <c:v>4</c:v>
                  </c:pt>
                  <c:pt idx="1">
                    <c:v>7</c:v>
                  </c:pt>
                  <c:pt idx="2">
                    <c:v>7</c:v>
                  </c:pt>
                  <c:pt idx="3">
                    <c:v>8</c:v>
                  </c:pt>
                  <c:pt idx="4">
                    <c:v>8</c:v>
                  </c:pt>
                  <c:pt idx="5">
                    <c:v>6</c:v>
                  </c:pt>
                  <c:pt idx="6">
                    <c:v>8</c:v>
                  </c:pt>
                  <c:pt idx="7">
                    <c:v>7</c:v>
                  </c:pt>
                  <c:pt idx="8">
                    <c:v>7</c:v>
                  </c:pt>
                </c:numCache>
              </c:numRef>
            </c:plus>
            <c:minus>
              <c:numRef>
                <c:f>profile!$I$34:$I$42</c:f>
                <c:numCache>
                  <c:formatCode>General</c:formatCode>
                  <c:ptCount val="9"/>
                  <c:pt idx="0">
                    <c:v>4</c:v>
                  </c:pt>
                  <c:pt idx="1">
                    <c:v>7</c:v>
                  </c:pt>
                  <c:pt idx="2">
                    <c:v>7</c:v>
                  </c:pt>
                  <c:pt idx="3">
                    <c:v>8</c:v>
                  </c:pt>
                  <c:pt idx="4">
                    <c:v>8</c:v>
                  </c:pt>
                  <c:pt idx="5">
                    <c:v>6</c:v>
                  </c:pt>
                  <c:pt idx="6">
                    <c:v>8</c:v>
                  </c:pt>
                  <c:pt idx="7">
                    <c:v>7</c:v>
                  </c:pt>
                  <c:pt idx="8">
                    <c:v>7</c:v>
                  </c:pt>
                </c:numCache>
              </c:numRef>
            </c:minus>
            <c:spPr>
              <a:noFill/>
              <a:ln w="50800" cap="flat" cmpd="sng" algn="ctr">
                <a:solidFill>
                  <a:schemeClr val="accent4">
                    <a:lumMod val="75000"/>
                    <a:alpha val="50000"/>
                  </a:schemeClr>
                </a:solidFill>
                <a:round/>
              </a:ln>
              <a:effectLst/>
            </c:spPr>
          </c:errBars>
          <c:xVal>
            <c:numRef>
              <c:f>profile!$J$7:$J$15</c:f>
              <c:numCache>
                <c:formatCode>General</c:formatCode>
                <c:ptCount val="9"/>
                <c:pt idx="0">
                  <c:v>1.125</c:v>
                </c:pt>
                <c:pt idx="1">
                  <c:v>2.125</c:v>
                </c:pt>
                <c:pt idx="2">
                  <c:v>3.125</c:v>
                </c:pt>
                <c:pt idx="3">
                  <c:v>4.125</c:v>
                </c:pt>
                <c:pt idx="4">
                  <c:v>5.125</c:v>
                </c:pt>
                <c:pt idx="5">
                  <c:v>6.125</c:v>
                </c:pt>
                <c:pt idx="6">
                  <c:v>7.125</c:v>
                </c:pt>
                <c:pt idx="7">
                  <c:v>8.125</c:v>
                </c:pt>
                <c:pt idx="8">
                  <c:v>9.125</c:v>
                </c:pt>
              </c:numCache>
            </c:numRef>
          </c:xVal>
          <c:yVal>
            <c:numRef>
              <c:f>profile!$G$34:$G$42</c:f>
              <c:numCache>
                <c:formatCode>General</c:formatCode>
                <c:ptCount val="9"/>
                <c:pt idx="0">
                  <c:v>#N/A</c:v>
                </c:pt>
              </c:numCache>
            </c:numRef>
          </c:yVal>
          <c:smooth val="0"/>
          <c:extLst xmlns:c16r2="http://schemas.microsoft.com/office/drawing/2015/06/chart">
            <c:ext xmlns:c16="http://schemas.microsoft.com/office/drawing/2014/chart" uri="{C3380CC4-5D6E-409C-BE32-E72D297353CC}">
              <c16:uniqueId val="{00000005-F4AB-4D4A-B6AF-C67EA8B4B84A}"/>
            </c:ext>
          </c:extLst>
        </c:ser>
        <c:dLbls>
          <c:showLegendKey val="0"/>
          <c:showVal val="0"/>
          <c:showCatName val="0"/>
          <c:showSerName val="0"/>
          <c:showPercent val="0"/>
          <c:showBubbleSize val="0"/>
        </c:dLbls>
        <c:axId val="103914024"/>
        <c:axId val="103985040"/>
      </c:scatterChart>
      <c:catAx>
        <c:axId val="1039140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
                </a:r>
                <a:br>
                  <a:rPr lang="de-DE"/>
                </a:br>
                <a:r>
                  <a:rPr lang="de-DE"/>
                  <a:t>SEC-I Skala</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03985040"/>
        <c:crossesAt val="50"/>
        <c:auto val="0"/>
        <c:lblAlgn val="ctr"/>
        <c:lblOffset val="100"/>
        <c:tickLblSkip val="1"/>
        <c:noMultiLvlLbl val="0"/>
      </c:catAx>
      <c:valAx>
        <c:axId val="103985040"/>
        <c:scaling>
          <c:orientation val="minMax"/>
          <c:max val="80"/>
          <c:min val="20"/>
        </c:scaling>
        <c:delete val="0"/>
        <c:axPos val="l"/>
        <c:majorGridlines>
          <c:spPr>
            <a:ln w="9525" cap="flat" cmpd="sng" algn="ctr">
              <a:solidFill>
                <a:schemeClr val="bg1">
                  <a:lumMod val="85000"/>
                </a:schemeClr>
              </a:solidFill>
              <a:round/>
            </a:ln>
            <a:effectLst/>
          </c:spPr>
        </c:majorGridlines>
        <c:minorGridlines>
          <c:spPr>
            <a:ln w="9525" cap="flat" cmpd="sng" algn="ctr">
              <a:solidFill>
                <a:schemeClr val="bg1">
                  <a:lumMod val="95000"/>
                </a:schemeClr>
              </a:solidFill>
              <a:round/>
            </a:ln>
            <a:effectLst/>
          </c:spPr>
        </c:min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T-Wert</a:t>
                </a:r>
                <a:br>
                  <a:rPr lang="de-DE"/>
                </a:br>
                <a:endParaRPr lang="de-DE"/>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out"/>
        <c:minorTickMark val="in"/>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03914024"/>
        <c:crossesAt val="1"/>
        <c:crossBetween val="between"/>
        <c:majorUnit val="10"/>
        <c:minorUnit val="1"/>
      </c:valAx>
      <c:spPr>
        <a:noFill/>
        <a:ln>
          <a:noFill/>
        </a:ln>
        <a:effectLst/>
      </c:spPr>
    </c:plotArea>
    <c:legend>
      <c:legendPos val="t"/>
      <c:legendEntry>
        <c:idx val="0"/>
        <c:delete val="1"/>
      </c:legendEntry>
      <c:legendEntry>
        <c:idx val="1"/>
        <c:delete val="1"/>
      </c:legendEntry>
      <c:legendEntry>
        <c:idx val="2"/>
        <c:delete val="1"/>
      </c:legendEntry>
      <c:legendEntry>
        <c:idx val="5"/>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lumMod val="65000"/>
              <a:lumOff val="35000"/>
            </a:schemeClr>
          </a:solidFill>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profile!$E$7</c:f>
              <c:strCache>
                <c:ptCount val="1"/>
                <c:pt idx="0">
                  <c:v>M-1s</c:v>
                </c:pt>
              </c:strCache>
            </c:strRef>
          </c:tx>
          <c:spPr>
            <a:solidFill>
              <a:srgbClr val="003399">
                <a:alpha val="30000"/>
              </a:srgbClr>
            </a:solidFill>
            <a:ln>
              <a:noFill/>
            </a:ln>
            <a:effectLst/>
          </c:spPr>
          <c:invertIfNegative val="0"/>
          <c:cat>
            <c:strRef>
              <c:f>profile!$B$7:$B$15</c:f>
              <c:strCache>
                <c:ptCount val="9"/>
                <c:pt idx="0">
                  <c:v>SEC</c:v>
                </c:pt>
                <c:pt idx="1">
                  <c:v>EBE</c:v>
                </c:pt>
                <c:pt idx="2">
                  <c:v>ECO</c:v>
                </c:pt>
                <c:pt idx="3">
                  <c:v>PEA</c:v>
                </c:pt>
                <c:pt idx="4">
                  <c:v>PES</c:v>
                </c:pt>
                <c:pt idx="5">
                  <c:v>REA</c:v>
                </c:pt>
                <c:pt idx="6">
                  <c:v>RES</c:v>
                </c:pt>
                <c:pt idx="7">
                  <c:v>SOB</c:v>
                </c:pt>
                <c:pt idx="8">
                  <c:v>SON</c:v>
                </c:pt>
              </c:strCache>
            </c:strRef>
          </c:cat>
          <c:val>
            <c:numRef>
              <c:f>profile!$E$8:$E$16</c:f>
              <c:numCache>
                <c:formatCode>General</c:formatCode>
                <c:ptCount val="9"/>
                <c:pt idx="0">
                  <c:v>40</c:v>
                </c:pt>
                <c:pt idx="1">
                  <c:v>40</c:v>
                </c:pt>
                <c:pt idx="2">
                  <c:v>40</c:v>
                </c:pt>
                <c:pt idx="3">
                  <c:v>40</c:v>
                </c:pt>
                <c:pt idx="4">
                  <c:v>40</c:v>
                </c:pt>
                <c:pt idx="5">
                  <c:v>40</c:v>
                </c:pt>
                <c:pt idx="6">
                  <c:v>40</c:v>
                </c:pt>
                <c:pt idx="7">
                  <c:v>40</c:v>
                </c:pt>
                <c:pt idx="8">
                  <c:v>40</c:v>
                </c:pt>
              </c:numCache>
            </c:numRef>
          </c:val>
          <c:extLst xmlns:c16r2="http://schemas.microsoft.com/office/drawing/2015/06/chart">
            <c:ext xmlns:c16="http://schemas.microsoft.com/office/drawing/2014/chart" uri="{C3380CC4-5D6E-409C-BE32-E72D297353CC}">
              <c16:uniqueId val="{00000000-8FEE-490F-9940-155DE8B4EFEF}"/>
            </c:ext>
          </c:extLst>
        </c:ser>
        <c:ser>
          <c:idx val="3"/>
          <c:order val="5"/>
          <c:tx>
            <c:strRef>
              <c:f>profile!$F$7</c:f>
              <c:strCache>
                <c:ptCount val="1"/>
                <c:pt idx="0">
                  <c:v>M+1s</c:v>
                </c:pt>
              </c:strCache>
            </c:strRef>
          </c:tx>
          <c:spPr>
            <a:solidFill>
              <a:srgbClr val="003399">
                <a:alpha val="30196"/>
              </a:srgbClr>
            </a:solidFill>
            <a:ln>
              <a:noFill/>
            </a:ln>
            <a:effectLst/>
          </c:spPr>
          <c:invertIfNegative val="0"/>
          <c:cat>
            <c:strRef>
              <c:f>profile!$B$7:$B$15</c:f>
              <c:strCache>
                <c:ptCount val="9"/>
                <c:pt idx="0">
                  <c:v>SEC</c:v>
                </c:pt>
                <c:pt idx="1">
                  <c:v>EBE</c:v>
                </c:pt>
                <c:pt idx="2">
                  <c:v>ECO</c:v>
                </c:pt>
                <c:pt idx="3">
                  <c:v>PEA</c:v>
                </c:pt>
                <c:pt idx="4">
                  <c:v>PES</c:v>
                </c:pt>
                <c:pt idx="5">
                  <c:v>REA</c:v>
                </c:pt>
                <c:pt idx="6">
                  <c:v>RES</c:v>
                </c:pt>
                <c:pt idx="7">
                  <c:v>SOB</c:v>
                </c:pt>
                <c:pt idx="8">
                  <c:v>SON</c:v>
                </c:pt>
              </c:strCache>
            </c:strRef>
          </c:cat>
          <c:val>
            <c:numRef>
              <c:f>profile!$F$8:$F$16</c:f>
              <c:numCache>
                <c:formatCode>General</c:formatCode>
                <c:ptCount val="9"/>
                <c:pt idx="0">
                  <c:v>60</c:v>
                </c:pt>
                <c:pt idx="1">
                  <c:v>60</c:v>
                </c:pt>
                <c:pt idx="2">
                  <c:v>60</c:v>
                </c:pt>
                <c:pt idx="3">
                  <c:v>60</c:v>
                </c:pt>
                <c:pt idx="4">
                  <c:v>60</c:v>
                </c:pt>
                <c:pt idx="5">
                  <c:v>60</c:v>
                </c:pt>
                <c:pt idx="6">
                  <c:v>60</c:v>
                </c:pt>
                <c:pt idx="7">
                  <c:v>60</c:v>
                </c:pt>
                <c:pt idx="8">
                  <c:v>60</c:v>
                </c:pt>
              </c:numCache>
            </c:numRef>
          </c:val>
          <c:extLst xmlns:c16r2="http://schemas.microsoft.com/office/drawing/2015/06/chart">
            <c:ext xmlns:c16="http://schemas.microsoft.com/office/drawing/2014/chart" uri="{C3380CC4-5D6E-409C-BE32-E72D297353CC}">
              <c16:uniqueId val="{00000001-8FEE-490F-9940-155DE8B4EFEF}"/>
            </c:ext>
          </c:extLst>
        </c:ser>
        <c:dLbls>
          <c:showLegendKey val="0"/>
          <c:showVal val="0"/>
          <c:showCatName val="0"/>
          <c:showSerName val="0"/>
          <c:showPercent val="0"/>
          <c:showBubbleSize val="0"/>
        </c:dLbls>
        <c:gapWidth val="0"/>
        <c:overlap val="100"/>
        <c:axId val="162595360"/>
        <c:axId val="103834656"/>
      </c:barChart>
      <c:scatterChart>
        <c:scatterStyle val="lineMarker"/>
        <c:varyColors val="0"/>
        <c:ser>
          <c:idx val="0"/>
          <c:order val="0"/>
          <c:tx>
            <c:strRef>
              <c:f>profile!$G$21</c:f>
              <c:strCache>
                <c:ptCount val="1"/>
                <c:pt idx="0">
                  <c:v>global</c:v>
                </c:pt>
              </c:strCache>
            </c:strRef>
          </c:tx>
          <c:spPr>
            <a:ln w="25400" cap="rnd">
              <a:noFill/>
              <a:round/>
            </a:ln>
            <a:effectLst/>
          </c:spPr>
          <c:marker>
            <c:symbol val="x"/>
            <c:size val="5"/>
            <c:spPr>
              <a:noFill/>
              <a:ln w="12700">
                <a:solidFill>
                  <a:srgbClr val="003399"/>
                </a:solidFill>
              </a:ln>
              <a:effectLst/>
            </c:spPr>
          </c:marker>
          <c:errBars>
            <c:errDir val="y"/>
            <c:errBarType val="both"/>
            <c:errValType val="cust"/>
            <c:noEndCap val="1"/>
            <c:plus>
              <c:numRef>
                <c:f>profile!$I$22:$I$30</c:f>
                <c:numCache>
                  <c:formatCode>General</c:formatCode>
                  <c:ptCount val="9"/>
                  <c:pt idx="0">
                    <c:v>5</c:v>
                  </c:pt>
                  <c:pt idx="1">
                    <c:v>9</c:v>
                  </c:pt>
                  <c:pt idx="2">
                    <c:v>10</c:v>
                  </c:pt>
                  <c:pt idx="3">
                    <c:v>10</c:v>
                  </c:pt>
                  <c:pt idx="4">
                    <c:v>9</c:v>
                  </c:pt>
                  <c:pt idx="5">
                    <c:v>8</c:v>
                  </c:pt>
                  <c:pt idx="6">
                    <c:v>10</c:v>
                  </c:pt>
                  <c:pt idx="7">
                    <c:v>9</c:v>
                  </c:pt>
                  <c:pt idx="8">
                    <c:v>11</c:v>
                  </c:pt>
                </c:numCache>
              </c:numRef>
            </c:plus>
            <c:minus>
              <c:numRef>
                <c:f>profile!$I$22:$I$30</c:f>
                <c:numCache>
                  <c:formatCode>General</c:formatCode>
                  <c:ptCount val="9"/>
                  <c:pt idx="0">
                    <c:v>5</c:v>
                  </c:pt>
                  <c:pt idx="1">
                    <c:v>9</c:v>
                  </c:pt>
                  <c:pt idx="2">
                    <c:v>10</c:v>
                  </c:pt>
                  <c:pt idx="3">
                    <c:v>10</c:v>
                  </c:pt>
                  <c:pt idx="4">
                    <c:v>9</c:v>
                  </c:pt>
                  <c:pt idx="5">
                    <c:v>8</c:v>
                  </c:pt>
                  <c:pt idx="6">
                    <c:v>10</c:v>
                  </c:pt>
                  <c:pt idx="7">
                    <c:v>9</c:v>
                  </c:pt>
                  <c:pt idx="8">
                    <c:v>11</c:v>
                  </c:pt>
                </c:numCache>
              </c:numRef>
            </c:minus>
            <c:spPr>
              <a:noFill/>
              <a:ln w="50800" cap="flat" cmpd="sng" algn="ctr">
                <a:solidFill>
                  <a:srgbClr val="003399">
                    <a:alpha val="50000"/>
                  </a:srgbClr>
                </a:solidFill>
                <a:round/>
              </a:ln>
              <a:effectLst/>
            </c:spPr>
          </c:errBars>
          <c:xVal>
            <c:numRef>
              <c:f>profile!$I$7:$I$15</c:f>
              <c:numCache>
                <c:formatCode>General</c:formatCode>
                <c:ptCount val="9"/>
                <c:pt idx="0">
                  <c:v>0.875</c:v>
                </c:pt>
                <c:pt idx="1">
                  <c:v>1.875</c:v>
                </c:pt>
                <c:pt idx="2">
                  <c:v>2.875</c:v>
                </c:pt>
                <c:pt idx="3">
                  <c:v>3.875</c:v>
                </c:pt>
                <c:pt idx="4">
                  <c:v>4.875</c:v>
                </c:pt>
                <c:pt idx="5">
                  <c:v>5.875</c:v>
                </c:pt>
                <c:pt idx="6">
                  <c:v>6.875</c:v>
                </c:pt>
                <c:pt idx="7">
                  <c:v>7.875</c:v>
                </c:pt>
                <c:pt idx="8">
                  <c:v>8.875</c:v>
                </c:pt>
              </c:numCache>
            </c:numRef>
          </c:xVal>
          <c:yVal>
            <c:numRef>
              <c:f>profile!$G$22:$G$30</c:f>
              <c:numCache>
                <c:formatCode>General</c:formatCode>
                <c:ptCount val="9"/>
                <c:pt idx="0">
                  <c:v>#N/A</c:v>
                </c:pt>
              </c:numCache>
            </c:numRef>
          </c:yVal>
          <c:smooth val="0"/>
          <c:extLst xmlns:c16r2="http://schemas.microsoft.com/office/drawing/2015/06/chart">
            <c:ext xmlns:c16="http://schemas.microsoft.com/office/drawing/2014/chart" uri="{C3380CC4-5D6E-409C-BE32-E72D297353CC}">
              <c16:uniqueId val="{00000002-8FEE-490F-9940-155DE8B4EFEF}"/>
            </c:ext>
          </c:extLst>
        </c:ser>
        <c:ser>
          <c:idx val="4"/>
          <c:order val="1"/>
          <c:tx>
            <c:strRef>
              <c:f>profile!$B$18</c:f>
              <c:strCache>
                <c:ptCount val="1"/>
                <c:pt idx="0">
                  <c:v>Selbsteinschätzung</c:v>
                </c:pt>
              </c:strCache>
            </c:strRef>
          </c:tx>
          <c:spPr>
            <a:ln w="12700" cap="rnd">
              <a:solidFill>
                <a:srgbClr val="003399"/>
              </a:solidFill>
              <a:round/>
            </a:ln>
            <a:effectLst/>
          </c:spPr>
          <c:marker>
            <c:symbol val="x"/>
            <c:size val="5"/>
            <c:spPr>
              <a:noFill/>
              <a:ln w="12700">
                <a:solidFill>
                  <a:srgbClr val="003399"/>
                </a:solidFill>
              </a:ln>
              <a:effectLst/>
            </c:spPr>
          </c:marker>
          <c:errBars>
            <c:errDir val="y"/>
            <c:errBarType val="both"/>
            <c:errValType val="cust"/>
            <c:noEndCap val="1"/>
            <c:plus>
              <c:numRef>
                <c:f>profile!$I$22:$I$30</c:f>
                <c:numCache>
                  <c:formatCode>General</c:formatCode>
                  <c:ptCount val="9"/>
                  <c:pt idx="0">
                    <c:v>5</c:v>
                  </c:pt>
                  <c:pt idx="1">
                    <c:v>9</c:v>
                  </c:pt>
                  <c:pt idx="2">
                    <c:v>10</c:v>
                  </c:pt>
                  <c:pt idx="3">
                    <c:v>10</c:v>
                  </c:pt>
                  <c:pt idx="4">
                    <c:v>9</c:v>
                  </c:pt>
                  <c:pt idx="5">
                    <c:v>8</c:v>
                  </c:pt>
                  <c:pt idx="6">
                    <c:v>10</c:v>
                  </c:pt>
                  <c:pt idx="7">
                    <c:v>9</c:v>
                  </c:pt>
                  <c:pt idx="8">
                    <c:v>11</c:v>
                  </c:pt>
                </c:numCache>
              </c:numRef>
            </c:plus>
            <c:minus>
              <c:numRef>
                <c:f>profile!$I$22:$I$30</c:f>
                <c:numCache>
                  <c:formatCode>General</c:formatCode>
                  <c:ptCount val="9"/>
                  <c:pt idx="0">
                    <c:v>5</c:v>
                  </c:pt>
                  <c:pt idx="1">
                    <c:v>9</c:v>
                  </c:pt>
                  <c:pt idx="2">
                    <c:v>10</c:v>
                  </c:pt>
                  <c:pt idx="3">
                    <c:v>10</c:v>
                  </c:pt>
                  <c:pt idx="4">
                    <c:v>9</c:v>
                  </c:pt>
                  <c:pt idx="5">
                    <c:v>8</c:v>
                  </c:pt>
                  <c:pt idx="6">
                    <c:v>10</c:v>
                  </c:pt>
                  <c:pt idx="7">
                    <c:v>9</c:v>
                  </c:pt>
                  <c:pt idx="8">
                    <c:v>11</c:v>
                  </c:pt>
                </c:numCache>
              </c:numRef>
            </c:minus>
            <c:spPr>
              <a:noFill/>
              <a:ln w="50800" cap="flat" cmpd="sng" algn="ctr">
                <a:solidFill>
                  <a:srgbClr val="003399">
                    <a:alpha val="50000"/>
                  </a:srgbClr>
                </a:solidFill>
                <a:round/>
              </a:ln>
              <a:effectLst/>
            </c:spPr>
          </c:errBars>
          <c:xVal>
            <c:numRef>
              <c:f>profile!$I$7:$I$15</c:f>
              <c:numCache>
                <c:formatCode>General</c:formatCode>
                <c:ptCount val="9"/>
                <c:pt idx="0">
                  <c:v>0.875</c:v>
                </c:pt>
                <c:pt idx="1">
                  <c:v>1.875</c:v>
                </c:pt>
                <c:pt idx="2">
                  <c:v>2.875</c:v>
                </c:pt>
                <c:pt idx="3">
                  <c:v>3.875</c:v>
                </c:pt>
                <c:pt idx="4">
                  <c:v>4.875</c:v>
                </c:pt>
                <c:pt idx="5">
                  <c:v>5.875</c:v>
                </c:pt>
                <c:pt idx="6">
                  <c:v>6.875</c:v>
                </c:pt>
                <c:pt idx="7">
                  <c:v>7.875</c:v>
                </c:pt>
                <c:pt idx="8">
                  <c:v>8.875</c:v>
                </c:pt>
              </c:numCache>
            </c:numRef>
          </c:xVal>
          <c:yVal>
            <c:numRef>
              <c:f>profile!$H$22:$H$30</c:f>
              <c:numCache>
                <c:formatCode>General</c:formatCode>
                <c:ptCount val="9"/>
                <c:pt idx="1">
                  <c:v>#N/A</c:v>
                </c:pt>
                <c:pt idx="2">
                  <c:v>#N/A</c:v>
                </c:pt>
                <c:pt idx="3">
                  <c:v>#N/A</c:v>
                </c:pt>
                <c:pt idx="4">
                  <c:v>#N/A</c:v>
                </c:pt>
                <c:pt idx="5">
                  <c:v>#N/A</c:v>
                </c:pt>
                <c:pt idx="6">
                  <c:v>#N/A</c:v>
                </c:pt>
                <c:pt idx="7">
                  <c:v>#N/A</c:v>
                </c:pt>
                <c:pt idx="8">
                  <c:v>#N/A</c:v>
                </c:pt>
              </c:numCache>
            </c:numRef>
          </c:yVal>
          <c:smooth val="0"/>
          <c:extLst xmlns:c16r2="http://schemas.microsoft.com/office/drawing/2015/06/chart">
            <c:ext xmlns:c16="http://schemas.microsoft.com/office/drawing/2014/chart" uri="{C3380CC4-5D6E-409C-BE32-E72D297353CC}">
              <c16:uniqueId val="{00000003-8FEE-490F-9940-155DE8B4EFEF}"/>
            </c:ext>
          </c:extLst>
        </c:ser>
        <c:ser>
          <c:idx val="5"/>
          <c:order val="3"/>
          <c:tx>
            <c:strRef>
              <c:f>profile!$B$19</c:f>
              <c:strCache>
                <c:ptCount val="1"/>
                <c:pt idx="0">
                  <c:v>Fremdeinschätzung</c:v>
                </c:pt>
              </c:strCache>
            </c:strRef>
          </c:tx>
          <c:spPr>
            <a:ln w="12700" cap="rnd">
              <a:solidFill>
                <a:schemeClr val="accent4">
                  <a:lumMod val="75000"/>
                </a:schemeClr>
              </a:solidFill>
              <a:round/>
            </a:ln>
            <a:effectLst/>
          </c:spPr>
          <c:marker>
            <c:symbol val="x"/>
            <c:size val="5"/>
            <c:spPr>
              <a:noFill/>
              <a:ln w="12700">
                <a:solidFill>
                  <a:schemeClr val="accent4">
                    <a:lumMod val="75000"/>
                  </a:schemeClr>
                </a:solidFill>
              </a:ln>
              <a:effectLst/>
            </c:spPr>
          </c:marker>
          <c:errBars>
            <c:errDir val="y"/>
            <c:errBarType val="both"/>
            <c:errValType val="cust"/>
            <c:noEndCap val="1"/>
            <c:plus>
              <c:numRef>
                <c:f>profile!$I$34:$I$42</c:f>
                <c:numCache>
                  <c:formatCode>General</c:formatCode>
                  <c:ptCount val="9"/>
                  <c:pt idx="0">
                    <c:v>4</c:v>
                  </c:pt>
                  <c:pt idx="1">
                    <c:v>7</c:v>
                  </c:pt>
                  <c:pt idx="2">
                    <c:v>7</c:v>
                  </c:pt>
                  <c:pt idx="3">
                    <c:v>8</c:v>
                  </c:pt>
                  <c:pt idx="4">
                    <c:v>8</c:v>
                  </c:pt>
                  <c:pt idx="5">
                    <c:v>6</c:v>
                  </c:pt>
                  <c:pt idx="6">
                    <c:v>8</c:v>
                  </c:pt>
                  <c:pt idx="7">
                    <c:v>7</c:v>
                  </c:pt>
                  <c:pt idx="8">
                    <c:v>7</c:v>
                  </c:pt>
                </c:numCache>
              </c:numRef>
            </c:plus>
            <c:minus>
              <c:numRef>
                <c:f>profile!$I$34:$I$42</c:f>
                <c:numCache>
                  <c:formatCode>General</c:formatCode>
                  <c:ptCount val="9"/>
                  <c:pt idx="0">
                    <c:v>4</c:v>
                  </c:pt>
                  <c:pt idx="1">
                    <c:v>7</c:v>
                  </c:pt>
                  <c:pt idx="2">
                    <c:v>7</c:v>
                  </c:pt>
                  <c:pt idx="3">
                    <c:v>8</c:v>
                  </c:pt>
                  <c:pt idx="4">
                    <c:v>8</c:v>
                  </c:pt>
                  <c:pt idx="5">
                    <c:v>6</c:v>
                  </c:pt>
                  <c:pt idx="6">
                    <c:v>8</c:v>
                  </c:pt>
                  <c:pt idx="7">
                    <c:v>7</c:v>
                  </c:pt>
                  <c:pt idx="8">
                    <c:v>7</c:v>
                  </c:pt>
                </c:numCache>
              </c:numRef>
            </c:minus>
            <c:spPr>
              <a:noFill/>
              <a:ln w="50800" cap="flat" cmpd="sng" algn="ctr">
                <a:solidFill>
                  <a:schemeClr val="accent4">
                    <a:lumMod val="75000"/>
                    <a:alpha val="50000"/>
                  </a:schemeClr>
                </a:solidFill>
                <a:round/>
              </a:ln>
              <a:effectLst/>
            </c:spPr>
          </c:errBars>
          <c:xVal>
            <c:numRef>
              <c:f>profile!$J$7:$J$15</c:f>
              <c:numCache>
                <c:formatCode>General</c:formatCode>
                <c:ptCount val="9"/>
                <c:pt idx="0">
                  <c:v>1.125</c:v>
                </c:pt>
                <c:pt idx="1">
                  <c:v>2.125</c:v>
                </c:pt>
                <c:pt idx="2">
                  <c:v>3.125</c:v>
                </c:pt>
                <c:pt idx="3">
                  <c:v>4.125</c:v>
                </c:pt>
                <c:pt idx="4">
                  <c:v>5.125</c:v>
                </c:pt>
                <c:pt idx="5">
                  <c:v>6.125</c:v>
                </c:pt>
                <c:pt idx="6">
                  <c:v>7.125</c:v>
                </c:pt>
                <c:pt idx="7">
                  <c:v>8.125</c:v>
                </c:pt>
                <c:pt idx="8">
                  <c:v>9.125</c:v>
                </c:pt>
              </c:numCache>
            </c:numRef>
          </c:xVal>
          <c:yVal>
            <c:numRef>
              <c:f>profile!$H$34:$H$42</c:f>
              <c:numCache>
                <c:formatCode>General</c:formatCode>
                <c:ptCount val="9"/>
                <c:pt idx="1">
                  <c:v>#N/A</c:v>
                </c:pt>
                <c:pt idx="2">
                  <c:v>#N/A</c:v>
                </c:pt>
                <c:pt idx="3">
                  <c:v>#N/A</c:v>
                </c:pt>
                <c:pt idx="4">
                  <c:v>#N/A</c:v>
                </c:pt>
                <c:pt idx="5">
                  <c:v>#N/A</c:v>
                </c:pt>
                <c:pt idx="6">
                  <c:v>#N/A</c:v>
                </c:pt>
                <c:pt idx="7">
                  <c:v>#N/A</c:v>
                </c:pt>
                <c:pt idx="8">
                  <c:v>#N/A</c:v>
                </c:pt>
              </c:numCache>
            </c:numRef>
          </c:yVal>
          <c:smooth val="0"/>
          <c:extLst xmlns:c16r2="http://schemas.microsoft.com/office/drawing/2015/06/chart">
            <c:ext xmlns:c16="http://schemas.microsoft.com/office/drawing/2014/chart" uri="{C3380CC4-5D6E-409C-BE32-E72D297353CC}">
              <c16:uniqueId val="{00000004-8FEE-490F-9940-155DE8B4EFEF}"/>
            </c:ext>
          </c:extLst>
        </c:ser>
        <c:ser>
          <c:idx val="1"/>
          <c:order val="4"/>
          <c:tx>
            <c:strRef>
              <c:f>profile!$G$33</c:f>
              <c:strCache>
                <c:ptCount val="1"/>
                <c:pt idx="0">
                  <c:v>global</c:v>
                </c:pt>
              </c:strCache>
            </c:strRef>
          </c:tx>
          <c:spPr>
            <a:ln w="25400" cap="rnd">
              <a:noFill/>
              <a:round/>
            </a:ln>
            <a:effectLst/>
          </c:spPr>
          <c:marker>
            <c:symbol val="x"/>
            <c:size val="5"/>
            <c:spPr>
              <a:noFill/>
              <a:ln w="12700">
                <a:solidFill>
                  <a:schemeClr val="accent4">
                    <a:lumMod val="75000"/>
                  </a:schemeClr>
                </a:solidFill>
              </a:ln>
              <a:effectLst/>
            </c:spPr>
          </c:marker>
          <c:errBars>
            <c:errDir val="y"/>
            <c:errBarType val="both"/>
            <c:errValType val="cust"/>
            <c:noEndCap val="1"/>
            <c:plus>
              <c:numRef>
                <c:f>profile!$I$34:$I$42</c:f>
                <c:numCache>
                  <c:formatCode>General</c:formatCode>
                  <c:ptCount val="9"/>
                  <c:pt idx="0">
                    <c:v>4</c:v>
                  </c:pt>
                  <c:pt idx="1">
                    <c:v>7</c:v>
                  </c:pt>
                  <c:pt idx="2">
                    <c:v>7</c:v>
                  </c:pt>
                  <c:pt idx="3">
                    <c:v>8</c:v>
                  </c:pt>
                  <c:pt idx="4">
                    <c:v>8</c:v>
                  </c:pt>
                  <c:pt idx="5">
                    <c:v>6</c:v>
                  </c:pt>
                  <c:pt idx="6">
                    <c:v>8</c:v>
                  </c:pt>
                  <c:pt idx="7">
                    <c:v>7</c:v>
                  </c:pt>
                  <c:pt idx="8">
                    <c:v>7</c:v>
                  </c:pt>
                </c:numCache>
              </c:numRef>
            </c:plus>
            <c:minus>
              <c:numRef>
                <c:f>profile!$I$34:$I$42</c:f>
                <c:numCache>
                  <c:formatCode>General</c:formatCode>
                  <c:ptCount val="9"/>
                  <c:pt idx="0">
                    <c:v>4</c:v>
                  </c:pt>
                  <c:pt idx="1">
                    <c:v>7</c:v>
                  </c:pt>
                  <c:pt idx="2">
                    <c:v>7</c:v>
                  </c:pt>
                  <c:pt idx="3">
                    <c:v>8</c:v>
                  </c:pt>
                  <c:pt idx="4">
                    <c:v>8</c:v>
                  </c:pt>
                  <c:pt idx="5">
                    <c:v>6</c:v>
                  </c:pt>
                  <c:pt idx="6">
                    <c:v>8</c:v>
                  </c:pt>
                  <c:pt idx="7">
                    <c:v>7</c:v>
                  </c:pt>
                  <c:pt idx="8">
                    <c:v>7</c:v>
                  </c:pt>
                </c:numCache>
              </c:numRef>
            </c:minus>
            <c:spPr>
              <a:noFill/>
              <a:ln w="50800" cap="flat" cmpd="sng" algn="ctr">
                <a:solidFill>
                  <a:schemeClr val="accent4">
                    <a:lumMod val="75000"/>
                    <a:alpha val="50000"/>
                  </a:schemeClr>
                </a:solidFill>
                <a:round/>
              </a:ln>
              <a:effectLst/>
            </c:spPr>
          </c:errBars>
          <c:xVal>
            <c:numRef>
              <c:f>profile!$J$7:$J$15</c:f>
              <c:numCache>
                <c:formatCode>General</c:formatCode>
                <c:ptCount val="9"/>
                <c:pt idx="0">
                  <c:v>1.125</c:v>
                </c:pt>
                <c:pt idx="1">
                  <c:v>2.125</c:v>
                </c:pt>
                <c:pt idx="2">
                  <c:v>3.125</c:v>
                </c:pt>
                <c:pt idx="3">
                  <c:v>4.125</c:v>
                </c:pt>
                <c:pt idx="4">
                  <c:v>5.125</c:v>
                </c:pt>
                <c:pt idx="5">
                  <c:v>6.125</c:v>
                </c:pt>
                <c:pt idx="6">
                  <c:v>7.125</c:v>
                </c:pt>
                <c:pt idx="7">
                  <c:v>8.125</c:v>
                </c:pt>
                <c:pt idx="8">
                  <c:v>9.125</c:v>
                </c:pt>
              </c:numCache>
            </c:numRef>
          </c:xVal>
          <c:yVal>
            <c:numRef>
              <c:f>profile!$G$34:$G$42</c:f>
              <c:numCache>
                <c:formatCode>General</c:formatCode>
                <c:ptCount val="9"/>
                <c:pt idx="0">
                  <c:v>#N/A</c:v>
                </c:pt>
              </c:numCache>
            </c:numRef>
          </c:yVal>
          <c:smooth val="0"/>
          <c:extLst xmlns:c16r2="http://schemas.microsoft.com/office/drawing/2015/06/chart">
            <c:ext xmlns:c16="http://schemas.microsoft.com/office/drawing/2014/chart" uri="{C3380CC4-5D6E-409C-BE32-E72D297353CC}">
              <c16:uniqueId val="{00000005-8FEE-490F-9940-155DE8B4EFEF}"/>
            </c:ext>
          </c:extLst>
        </c:ser>
        <c:dLbls>
          <c:showLegendKey val="0"/>
          <c:showVal val="0"/>
          <c:showCatName val="0"/>
          <c:showSerName val="0"/>
          <c:showPercent val="0"/>
          <c:showBubbleSize val="0"/>
        </c:dLbls>
        <c:axId val="162595360"/>
        <c:axId val="103834656"/>
      </c:scatterChart>
      <c:catAx>
        <c:axId val="16259536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
                </a:r>
                <a:br>
                  <a:rPr lang="de-DE"/>
                </a:br>
                <a:r>
                  <a:rPr lang="de-DE"/>
                  <a:t>SEC-I Skala</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03834656"/>
        <c:crossesAt val="50"/>
        <c:auto val="0"/>
        <c:lblAlgn val="ctr"/>
        <c:lblOffset val="100"/>
        <c:tickLblSkip val="1"/>
        <c:noMultiLvlLbl val="0"/>
      </c:catAx>
      <c:valAx>
        <c:axId val="103834656"/>
        <c:scaling>
          <c:orientation val="minMax"/>
          <c:max val="80"/>
          <c:min val="20"/>
        </c:scaling>
        <c:delete val="0"/>
        <c:axPos val="l"/>
        <c:majorGridlines>
          <c:spPr>
            <a:ln w="9525" cap="flat" cmpd="sng" algn="ctr">
              <a:solidFill>
                <a:schemeClr val="bg1">
                  <a:lumMod val="85000"/>
                </a:schemeClr>
              </a:solidFill>
              <a:round/>
            </a:ln>
            <a:effectLst/>
          </c:spPr>
        </c:majorGridlines>
        <c:minorGridlines>
          <c:spPr>
            <a:ln w="9525" cap="flat" cmpd="sng" algn="ctr">
              <a:solidFill>
                <a:schemeClr val="bg1">
                  <a:lumMod val="95000"/>
                </a:schemeClr>
              </a:solidFill>
              <a:round/>
            </a:ln>
            <a:effectLst/>
          </c:spPr>
        </c:min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T-Wert</a:t>
                </a:r>
                <a:br>
                  <a:rPr lang="de-DE"/>
                </a:br>
                <a:endParaRPr lang="de-DE"/>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General" sourceLinked="1"/>
        <c:majorTickMark val="out"/>
        <c:minorTickMark val="in"/>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62595360"/>
        <c:crossesAt val="1"/>
        <c:crossBetween val="between"/>
        <c:majorUnit val="10"/>
        <c:minorUnit val="1"/>
      </c:valAx>
      <c:spPr>
        <a:noFill/>
        <a:ln>
          <a:noFill/>
        </a:ln>
        <a:effectLst/>
      </c:spPr>
    </c:plotArea>
    <c:legend>
      <c:legendPos val="t"/>
      <c:legendEntry>
        <c:idx val="0"/>
        <c:delete val="1"/>
      </c:legendEntry>
      <c:legendEntry>
        <c:idx val="1"/>
        <c:delete val="1"/>
      </c:legendEntry>
      <c:legendEntry>
        <c:idx val="2"/>
        <c:delete val="1"/>
      </c:legendEntry>
      <c:legendEntry>
        <c:idx val="5"/>
        <c:delete val="1"/>
      </c:legendEntry>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lumMod val="65000"/>
              <a:lumOff val="35000"/>
            </a:schemeClr>
          </a:solidFill>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8.jpeg"/><Relationship Id="rId4" Type="http://schemas.openxmlformats.org/officeDocument/2006/relationships/image" Target="../media/image11.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8.jpeg"/><Relationship Id="rId4"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jpeg"/><Relationship Id="rId1" Type="http://schemas.openxmlformats.org/officeDocument/2006/relationships/image" Target="../media/image12.jpeg"/><Relationship Id="rId4"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3</xdr:col>
      <xdr:colOff>0</xdr:colOff>
      <xdr:row>27</xdr:row>
      <xdr:rowOff>110037</xdr:rowOff>
    </xdr:from>
    <xdr:to>
      <xdr:col>9</xdr:col>
      <xdr:colOff>142421</xdr:colOff>
      <xdr:row>29</xdr:row>
      <xdr:rowOff>0</xdr:rowOff>
    </xdr:to>
    <xdr:pic>
      <xdr:nvPicPr>
        <xdr:cNvPr id="61" name="Picture 3" descr="erasmus+logo_mic"/>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159" y="9695651"/>
          <a:ext cx="2064739" cy="600008"/>
        </a:xfrm>
        <a:prstGeom prst="rect">
          <a:avLst/>
        </a:prstGeom>
        <a:noFill/>
        <a:ln>
          <a:noFill/>
        </a:ln>
        <a:effectLst/>
        <a:extLst/>
      </xdr:spPr>
    </xdr:pic>
    <xdr:clientData/>
  </xdr:twoCellAnchor>
  <xdr:twoCellAnchor>
    <xdr:from>
      <xdr:col>13</xdr:col>
      <xdr:colOff>203562</xdr:colOff>
      <xdr:row>27</xdr:row>
      <xdr:rowOff>104957</xdr:rowOff>
    </xdr:from>
    <xdr:to>
      <xdr:col>22</xdr:col>
      <xdr:colOff>0</xdr:colOff>
      <xdr:row>29</xdr:row>
      <xdr:rowOff>0</xdr:rowOff>
    </xdr:to>
    <xdr:sp macro="" textlink="">
      <xdr:nvSpPr>
        <xdr:cNvPr id="62" name="Textfeld 1"/>
        <xdr:cNvSpPr txBox="1"/>
      </xdr:nvSpPr>
      <xdr:spPr>
        <a:xfrm>
          <a:off x="4368585" y="9690571"/>
          <a:ext cx="2679915" cy="605088"/>
        </a:xfrm>
        <a:prstGeom prst="rect">
          <a:avLst/>
        </a:prstGeom>
        <a:noFill/>
      </xdr:spPr>
      <xdr:txBody>
        <a:bodyPr wrap="square" rtlCol="0">
          <a:noAutofit/>
        </a:bodyPr>
        <a:lstStyle/>
        <a:p>
          <a:pPr>
            <a:spcAft>
              <a:spcPts val="0"/>
            </a:spcAft>
          </a:pPr>
          <a:r>
            <a:rPr lang="en-US" sz="700" kern="1200">
              <a:solidFill>
                <a:srgbClr val="000000"/>
              </a:solidFill>
              <a:effectLst/>
              <a:latin typeface="Arial" panose="020B0604020202020204" pitchFamily="34" charset="0"/>
              <a:ea typeface="Times New Roman" panose="02020603050405020304" pitchFamily="18" charset="0"/>
            </a:rPr>
            <a:t>Die Unterstützung der Europäischen Kommission für die Erstellung dieser Veröffentlichung stellt keine Billigung des Inhalts dar, welcher nur die Ansichten der Verfasser wiedergibt, und die Kommission kann nicht für eine etwaige Verwendung der darin enthaltenen Informationen haftbar gemacht werden.</a:t>
          </a:r>
        </a:p>
      </xdr:txBody>
    </xdr:sp>
    <xdr:clientData/>
  </xdr:twoCellAnchor>
  <xdr:twoCellAnchor>
    <xdr:from>
      <xdr:col>1</xdr:col>
      <xdr:colOff>130628</xdr:colOff>
      <xdr:row>5</xdr:row>
      <xdr:rowOff>0</xdr:rowOff>
    </xdr:from>
    <xdr:to>
      <xdr:col>21</xdr:col>
      <xdr:colOff>0</xdr:colOff>
      <xdr:row>26</xdr:row>
      <xdr:rowOff>18415</xdr:rowOff>
    </xdr:to>
    <xdr:grpSp>
      <xdr:nvGrpSpPr>
        <xdr:cNvPr id="69" name="Gruppieren 68"/>
        <xdr:cNvGrpSpPr/>
      </xdr:nvGrpSpPr>
      <xdr:grpSpPr>
        <a:xfrm>
          <a:off x="454478" y="1762125"/>
          <a:ext cx="6346372" cy="7419340"/>
          <a:chOff x="468176" y="1796144"/>
          <a:chExt cx="6400801" cy="7447915"/>
        </a:xfrm>
      </xdr:grpSpPr>
      <xdr:grpSp>
        <xdr:nvGrpSpPr>
          <xdr:cNvPr id="60" name="Gruppieren 59"/>
          <xdr:cNvGrpSpPr/>
        </xdr:nvGrpSpPr>
        <xdr:grpSpPr>
          <a:xfrm>
            <a:off x="468176" y="1796144"/>
            <a:ext cx="6400801" cy="7447915"/>
            <a:chOff x="0" y="0"/>
            <a:chExt cx="7315223" cy="8512049"/>
          </a:xfrm>
        </xdr:grpSpPr>
        <xdr:sp macro="" textlink="">
          <xdr:nvSpPr>
            <xdr:cNvPr id="65" name="Abgerundetes Rechteck 64"/>
            <xdr:cNvSpPr/>
          </xdr:nvSpPr>
          <xdr:spPr>
            <a:xfrm>
              <a:off x="655223" y="324628"/>
              <a:ext cx="6660000" cy="8187421"/>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66" name="Rechteck 65"/>
            <xdr:cNvSpPr/>
          </xdr:nvSpPr>
          <xdr:spPr>
            <a:xfrm>
              <a:off x="475223" y="324628"/>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67" name="Abgerundetes Rechteck 66"/>
            <xdr:cNvSpPr/>
          </xdr:nvSpPr>
          <xdr:spPr>
            <a:xfrm>
              <a:off x="0" y="0"/>
              <a:ext cx="5019430" cy="658285"/>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68" name="Rechteck 67"/>
            <xdr:cNvSpPr/>
          </xdr:nvSpPr>
          <xdr:spPr>
            <a:xfrm>
              <a:off x="0" y="0"/>
              <a:ext cx="263314" cy="658285"/>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sp macro="" textlink="">
        <xdr:nvSpPr>
          <xdr:cNvPr id="63" name="Textfeld 2275"/>
          <xdr:cNvSpPr txBox="1"/>
        </xdr:nvSpPr>
        <xdr:spPr>
          <a:xfrm>
            <a:off x="1260656" y="1796144"/>
            <a:ext cx="3599815" cy="575945"/>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nSpc>
                <a:spcPct val="107000"/>
              </a:lnSpc>
              <a:spcAft>
                <a:spcPts val="0"/>
              </a:spcAft>
            </a:pPr>
            <a:r>
              <a:rPr lang="de-DE" sz="28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Auswertungsdatei</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pic>
        <xdr:nvPicPr>
          <xdr:cNvPr id="64" name="Grafik 63"/>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5091" y="2803889"/>
            <a:ext cx="5579745" cy="1616075"/>
          </a:xfrm>
          <a:prstGeom prst="rect">
            <a:avLst/>
          </a:prstGeom>
        </xdr:spPr>
      </xdr:pic>
    </xdr:grpSp>
    <xdr:clientData/>
  </xdr:twoCellAnchor>
  <xdr:twoCellAnchor>
    <xdr:from>
      <xdr:col>4</xdr:col>
      <xdr:colOff>0</xdr:colOff>
      <xdr:row>14</xdr:row>
      <xdr:rowOff>0</xdr:rowOff>
    </xdr:from>
    <xdr:to>
      <xdr:col>20</xdr:col>
      <xdr:colOff>0</xdr:colOff>
      <xdr:row>25</xdr:row>
      <xdr:rowOff>212964</xdr:rowOff>
    </xdr:to>
    <xdr:sp macro="" textlink="">
      <xdr:nvSpPr>
        <xdr:cNvPr id="70" name="Textfeld 2294"/>
        <xdr:cNvSpPr txBox="1"/>
      </xdr:nvSpPr>
      <xdr:spPr>
        <a:xfrm>
          <a:off x="1281545" y="4970318"/>
          <a:ext cx="5126182" cy="4118214"/>
        </a:xfrm>
        <a:prstGeom prst="rect">
          <a:avLst/>
        </a:prstGeom>
        <a:solidFill>
          <a:schemeClr val="lt1"/>
        </a:solidFill>
        <a:ln w="6350">
          <a:noFill/>
        </a:ln>
      </xdr:spPr>
      <xdr:txBody>
        <a:bodyPr rot="0" spcFirstLastPara="0" vert="horz" wrap="square" lIns="0" tIns="0" rIns="0" bIns="0" numCol="1" spcCol="0" rtlCol="0" fromWordArt="0" anchor="t" anchorCtr="0" forceAA="0" compatLnSpc="1">
          <a:prstTxWarp prst="textNoShape">
            <a:avLst/>
          </a:prstTxWarp>
          <a:noAutofit/>
        </a:bodyPr>
        <a:lstStyle/>
        <a:p>
          <a:pPr>
            <a:lnSpc>
              <a:spcPct val="107000"/>
            </a:lnSpc>
            <a:spcAft>
              <a:spcPts val="800"/>
            </a:spcAft>
          </a:pPr>
          <a:r>
            <a:rPr lang="de-DE" sz="3600" b="1">
              <a:solidFill>
                <a:srgbClr val="003399"/>
              </a:solidFill>
              <a:effectLst/>
              <a:latin typeface="Arial" panose="020B0604020202020204" pitchFamily="34" charset="0"/>
              <a:ea typeface="Calibri" panose="020F0502020204030204" pitchFamily="34" charset="0"/>
              <a:cs typeface="Times New Roman" panose="02020603050405020304" pitchFamily="18" charset="0"/>
            </a:rPr>
            <a:t>SEC‑I und SEC‑SJT</a:t>
          </a:r>
          <a:endParaRPr lang="de-DE" sz="1200">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de-DE" sz="1800">
              <a:solidFill>
                <a:srgbClr val="003399"/>
              </a:solidFill>
              <a:effectLst/>
              <a:latin typeface="Arial" panose="020B0604020202020204" pitchFamily="34" charset="0"/>
              <a:ea typeface="Calibri" panose="020F0502020204030204" pitchFamily="34" charset="0"/>
              <a:cs typeface="Times New Roman" panose="02020603050405020304" pitchFamily="18" charset="0"/>
            </a:rPr>
            <a:t>Inventar und Situational Judgement Test</a:t>
          </a:r>
          <a:br>
            <a:rPr lang="de-DE" sz="1800">
              <a:solidFill>
                <a:srgbClr val="003399"/>
              </a:solidFill>
              <a:effectLst/>
              <a:latin typeface="Arial" panose="020B0604020202020204" pitchFamily="34" charset="0"/>
              <a:ea typeface="Calibri" panose="020F0502020204030204" pitchFamily="34" charset="0"/>
              <a:cs typeface="Times New Roman" panose="02020603050405020304" pitchFamily="18" charset="0"/>
            </a:rPr>
          </a:br>
          <a:r>
            <a:rPr lang="de-DE" sz="1800">
              <a:solidFill>
                <a:srgbClr val="003399"/>
              </a:solidFill>
              <a:effectLst/>
              <a:latin typeface="Arial" panose="020B0604020202020204" pitchFamily="34" charset="0"/>
              <a:ea typeface="Calibri" panose="020F0502020204030204" pitchFamily="34" charset="0"/>
              <a:cs typeface="Times New Roman" panose="02020603050405020304" pitchFamily="18" charset="0"/>
            </a:rPr>
            <a:t>zur Erfassung sozial-emotionaler Kompetenz(en)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de-DE" sz="1200">
              <a:solidFill>
                <a:srgbClr val="003399"/>
              </a:solidFill>
              <a:effectLst/>
              <a:latin typeface="Arial" panose="020B0604020202020204" pitchFamily="34" charset="0"/>
              <a:ea typeface="Calibri" panose="020F0502020204030204" pitchFamily="34" charset="0"/>
              <a:cs typeface="Times New Roman" panose="02020603050405020304" pitchFamily="18" charset="0"/>
            </a:rPr>
            <a:t>Diagnostische Verfahren zur multimethodalen Erfassung sozial-emotionaler Kompetenz(en) bei jungen Menschen mit (sub)klinischer kognitiver bzw. psychischer Beeinträchtigung</a:t>
          </a:r>
          <a:endParaRPr lang="de-DE" sz="1200">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de-DE" sz="1200">
              <a:solidFill>
                <a:srgbClr val="003399"/>
              </a:solidFill>
              <a:effectLst/>
              <a:latin typeface="Arial" panose="020B0604020202020204" pitchFamily="34" charset="0"/>
              <a:ea typeface="Calibri" panose="020F0502020204030204" pitchFamily="34" charset="0"/>
              <a:cs typeface="Times New Roman" panose="02020603050405020304" pitchFamily="18" charset="0"/>
            </a:rPr>
            <a:t> </a:t>
          </a:r>
          <a:endParaRPr lang="de-DE" sz="1200">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r>
            <a:rPr lang="de-DE" sz="1800" b="1">
              <a:solidFill>
                <a:srgbClr val="003399"/>
              </a:solidFill>
              <a:effectLst/>
              <a:latin typeface="Arial" panose="020B0604020202020204" pitchFamily="34" charset="0"/>
              <a:ea typeface="Calibri" panose="020F0502020204030204" pitchFamily="34" charset="0"/>
              <a:cs typeface="Times New Roman" panose="02020603050405020304" pitchFamily="18" charset="0"/>
            </a:rPr>
            <a:t>Auswertungsdatei</a:t>
          </a:r>
          <a:endParaRPr lang="en-US" sz="1000" b="0">
            <a:solidFill>
              <a:srgbClr val="003399"/>
            </a:solidFill>
            <a:effectLst/>
            <a:latin typeface="Arial" panose="020B060402020202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de-DE" sz="800">
            <a:effectLst/>
            <a:latin typeface="Arial" panose="020B0604020202020204" pitchFamily="34" charset="0"/>
            <a:ea typeface="Calibri" panose="020F0502020204030204" pitchFamily="34" charset="0"/>
            <a:cs typeface="Times New Roman" panose="02020603050405020304" pitchFamily="18" charset="0"/>
          </a:endParaRPr>
        </a:p>
        <a:p>
          <a:pPr marL="306070" indent="-306070">
            <a:lnSpc>
              <a:spcPct val="107000"/>
            </a:lnSpc>
            <a:spcAft>
              <a:spcPts val="800"/>
            </a:spcAft>
          </a:pPr>
          <a:endParaRPr lang="de-DE" sz="800">
            <a:effectLst/>
            <a:latin typeface="Arial" panose="020B0604020202020204" pitchFamily="34" charset="0"/>
            <a:ea typeface="Times New Roman" panose="02020603050405020304" pitchFamily="18" charset="0"/>
            <a:cs typeface="Times New Roman" panose="02020603050405020304" pitchFamily="18" charset="0"/>
          </a:endParaRPr>
        </a:p>
        <a:p>
          <a:pPr marL="306070" indent="-306070">
            <a:lnSpc>
              <a:spcPct val="107000"/>
            </a:lnSpc>
            <a:spcAft>
              <a:spcPts val="800"/>
            </a:spcAft>
          </a:pPr>
          <a:r>
            <a:rPr lang="de-DE" sz="800">
              <a:solidFill>
                <a:srgbClr val="003399"/>
              </a:solidFill>
              <a:effectLst/>
              <a:latin typeface="Arial" panose="020B0604020202020204" pitchFamily="34" charset="0"/>
              <a:ea typeface="Times New Roman" panose="02020603050405020304" pitchFamily="18" charset="0"/>
              <a:cs typeface="Times New Roman" panose="02020603050405020304" pitchFamily="18" charset="0"/>
            </a:rPr>
            <a:t>Wolf, D., Schneider, S., &amp; Schütz, A. (2020). </a:t>
          </a:r>
          <a:r>
            <a:rPr lang="de-DE" sz="800" i="1">
              <a:solidFill>
                <a:srgbClr val="003399"/>
              </a:solidFill>
              <a:effectLst/>
              <a:latin typeface="Arial" panose="020B0604020202020204" pitchFamily="34" charset="0"/>
              <a:ea typeface="Times New Roman" panose="02020603050405020304" pitchFamily="18" charset="0"/>
              <a:cs typeface="Times New Roman" panose="02020603050405020304" pitchFamily="18" charset="0"/>
            </a:rPr>
            <a:t>Inventar und Situational Judgement Test zur Erfassung sozial-emotionaler Kompetenz(en) (SEC-I und SEC-SJT)</a:t>
          </a:r>
          <a:r>
            <a:rPr lang="de-DE" sz="800">
              <a:solidFill>
                <a:srgbClr val="003399"/>
              </a:solidFill>
              <a:effectLst/>
              <a:latin typeface="Arial" panose="020B0604020202020204" pitchFamily="34" charset="0"/>
              <a:ea typeface="Times New Roman" panose="02020603050405020304" pitchFamily="18" charset="0"/>
              <a:cs typeface="Times New Roman" panose="02020603050405020304" pitchFamily="18" charset="0"/>
            </a:rPr>
            <a:t>. Otto-Friedrich-Universität Bamberg.</a:t>
          </a:r>
          <a:r>
            <a:rPr lang="de-DE" sz="800" baseline="0">
              <a:solidFill>
                <a:srgbClr val="003399"/>
              </a:solidFill>
              <a:effectLst/>
              <a:latin typeface="Arial" panose="020B0604020202020204" pitchFamily="34" charset="0"/>
              <a:ea typeface="Times New Roman" panose="02020603050405020304" pitchFamily="18" charset="0"/>
              <a:cs typeface="Times New Roman" panose="02020603050405020304" pitchFamily="18" charset="0"/>
            </a:rPr>
            <a:t> https://doi.org/10.20378/irb-48863</a:t>
          </a:r>
        </a:p>
        <a:p>
          <a:pPr marL="306070" indent="-306070">
            <a:lnSpc>
              <a:spcPct val="107000"/>
            </a:lnSpc>
            <a:spcAft>
              <a:spcPts val="800"/>
            </a:spcAft>
          </a:pP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4</xdr:col>
      <xdr:colOff>0</xdr:colOff>
      <xdr:row>24</xdr:row>
      <xdr:rowOff>0</xdr:rowOff>
    </xdr:from>
    <xdr:to>
      <xdr:col>6</xdr:col>
      <xdr:colOff>167980</xdr:colOff>
      <xdr:row>24</xdr:row>
      <xdr:rowOff>280670</xdr:rowOff>
    </xdr:to>
    <xdr:pic>
      <xdr:nvPicPr>
        <xdr:cNvPr id="15" name="Grafik 14" descr="by-sa"/>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06286" y="8490857"/>
          <a:ext cx="821123" cy="2806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294050</xdr:colOff>
      <xdr:row>1</xdr:row>
      <xdr:rowOff>0</xdr:rowOff>
    </xdr:from>
    <xdr:to>
      <xdr:col>23</xdr:col>
      <xdr:colOff>0</xdr:colOff>
      <xdr:row>30</xdr:row>
      <xdr:rowOff>19050</xdr:rowOff>
    </xdr:to>
    <xdr:grpSp>
      <xdr:nvGrpSpPr>
        <xdr:cNvPr id="11" name="Gruppieren 10"/>
        <xdr:cNvGrpSpPr>
          <a:grpSpLocks noChangeAspect="1"/>
        </xdr:cNvGrpSpPr>
      </xdr:nvGrpSpPr>
      <xdr:grpSpPr>
        <a:xfrm>
          <a:off x="294050" y="352425"/>
          <a:ext cx="7154500" cy="10239375"/>
          <a:chOff x="8212666" y="762000"/>
          <a:chExt cx="7199631" cy="10210800"/>
        </a:xfrm>
      </xdr:grpSpPr>
      <xdr:pic>
        <xdr:nvPicPr>
          <xdr:cNvPr id="12" name="Picture 2" descr="Logo-Sec4VET_7cm-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077" y="762000"/>
            <a:ext cx="2256790" cy="565150"/>
          </a:xfrm>
          <a:prstGeom prst="rect">
            <a:avLst/>
          </a:prstGeom>
          <a:noFill/>
          <a:ln>
            <a:noFill/>
          </a:ln>
          <a:effectLst/>
          <a:extLst/>
        </xdr:spPr>
      </xdr:pic>
      <xdr:grpSp>
        <xdr:nvGrpSpPr>
          <xdr:cNvPr id="13" name="Gruppieren 12"/>
          <xdr:cNvGrpSpPr/>
        </xdr:nvGrpSpPr>
        <xdr:grpSpPr>
          <a:xfrm>
            <a:off x="8212666" y="1456690"/>
            <a:ext cx="7199631" cy="8773160"/>
            <a:chOff x="0" y="0"/>
            <a:chExt cx="7200000" cy="8773200"/>
          </a:xfrm>
        </xdr:grpSpPr>
        <xdr:sp macro="" textlink="">
          <xdr:nvSpPr>
            <xdr:cNvPr id="16" name="Abgerundetes Rechteck 15"/>
            <xdr:cNvSpPr/>
          </xdr:nvSpPr>
          <xdr:spPr>
            <a:xfrm>
              <a:off x="54000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17" name="Rechteck 16"/>
            <xdr:cNvSpPr/>
          </xdr:nvSpPr>
          <xdr:spPr>
            <a:xfrm>
              <a:off x="360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18" name="Abgerundetes Rechteck 17"/>
            <xdr:cNvSpPr/>
          </xdr:nvSpPr>
          <xdr:spPr>
            <a:xfrm>
              <a:off x="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19" name="Rechteck 18"/>
            <xdr:cNvSpPr/>
          </xdr:nvSpPr>
          <xdr:spPr>
            <a:xfrm>
              <a:off x="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14" name="Picture 3" descr="erasmus+logo_mic"/>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53052" y="10375265"/>
            <a:ext cx="2101850" cy="597535"/>
          </a:xfrm>
          <a:prstGeom prst="rect">
            <a:avLst/>
          </a:prstGeom>
          <a:noFill/>
          <a:ln>
            <a:noFill/>
          </a:ln>
          <a:effectLst/>
          <a:extLst/>
        </xdr:spPr>
      </xdr:pic>
      <xdr:sp macro="" textlink="">
        <xdr:nvSpPr>
          <xdr:cNvPr id="15" name="Textfeld 2144"/>
          <xdr:cNvSpPr txBox="1"/>
        </xdr:nvSpPr>
        <xdr:spPr>
          <a:xfrm>
            <a:off x="9040707" y="14566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SEC-I-SR Auswertungsbogen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23</xdr:col>
      <xdr:colOff>294050</xdr:colOff>
      <xdr:row>1</xdr:row>
      <xdr:rowOff>0</xdr:rowOff>
    </xdr:from>
    <xdr:to>
      <xdr:col>46</xdr:col>
      <xdr:colOff>0</xdr:colOff>
      <xdr:row>30</xdr:row>
      <xdr:rowOff>19051</xdr:rowOff>
    </xdr:to>
    <xdr:grpSp>
      <xdr:nvGrpSpPr>
        <xdr:cNvPr id="20" name="Gruppieren 19"/>
        <xdr:cNvGrpSpPr>
          <a:grpSpLocks noChangeAspect="1"/>
        </xdr:cNvGrpSpPr>
      </xdr:nvGrpSpPr>
      <xdr:grpSpPr>
        <a:xfrm>
          <a:off x="7742600" y="352425"/>
          <a:ext cx="7154500" cy="10239376"/>
          <a:chOff x="8212666" y="762000"/>
          <a:chExt cx="7199631" cy="10210800"/>
        </a:xfrm>
      </xdr:grpSpPr>
      <xdr:pic>
        <xdr:nvPicPr>
          <xdr:cNvPr id="21" name="Picture 2" descr="Logo-Sec4VET_7cm-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077" y="762000"/>
            <a:ext cx="2256790" cy="565150"/>
          </a:xfrm>
          <a:prstGeom prst="rect">
            <a:avLst/>
          </a:prstGeom>
          <a:noFill/>
          <a:ln>
            <a:noFill/>
          </a:ln>
          <a:effectLst/>
          <a:extLst/>
        </xdr:spPr>
      </xdr:pic>
      <xdr:grpSp>
        <xdr:nvGrpSpPr>
          <xdr:cNvPr id="22" name="Gruppieren 21"/>
          <xdr:cNvGrpSpPr/>
        </xdr:nvGrpSpPr>
        <xdr:grpSpPr>
          <a:xfrm>
            <a:off x="8212666" y="1456690"/>
            <a:ext cx="7199631" cy="8773160"/>
            <a:chOff x="0" y="0"/>
            <a:chExt cx="7200000" cy="8773200"/>
          </a:xfrm>
        </xdr:grpSpPr>
        <xdr:sp macro="" textlink="">
          <xdr:nvSpPr>
            <xdr:cNvPr id="25" name="Abgerundetes Rechteck 24"/>
            <xdr:cNvSpPr/>
          </xdr:nvSpPr>
          <xdr:spPr>
            <a:xfrm>
              <a:off x="54000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26" name="Rechteck 25"/>
            <xdr:cNvSpPr/>
          </xdr:nvSpPr>
          <xdr:spPr>
            <a:xfrm>
              <a:off x="360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27" name="Abgerundetes Rechteck 26"/>
            <xdr:cNvSpPr/>
          </xdr:nvSpPr>
          <xdr:spPr>
            <a:xfrm>
              <a:off x="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28" name="Rechteck 27"/>
            <xdr:cNvSpPr/>
          </xdr:nvSpPr>
          <xdr:spPr>
            <a:xfrm>
              <a:off x="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23" name="Picture 3" descr="erasmus+logo_mic"/>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53052" y="10375265"/>
            <a:ext cx="2101850" cy="597535"/>
          </a:xfrm>
          <a:prstGeom prst="rect">
            <a:avLst/>
          </a:prstGeom>
          <a:noFill/>
          <a:ln>
            <a:noFill/>
          </a:ln>
          <a:effectLst/>
          <a:extLst/>
        </xdr:spPr>
      </xdr:pic>
      <xdr:sp macro="" textlink="">
        <xdr:nvSpPr>
          <xdr:cNvPr id="24" name="Textfeld 2144"/>
          <xdr:cNvSpPr txBox="1"/>
        </xdr:nvSpPr>
        <xdr:spPr>
          <a:xfrm>
            <a:off x="9040707" y="14566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SEC-I-SR</a:t>
            </a:r>
            <a:r>
              <a:rPr lang="de-DE" sz="1600" b="1"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Auswertungsbogen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xdr:col>
      <xdr:colOff>0</xdr:colOff>
      <xdr:row>32</xdr:row>
      <xdr:rowOff>0</xdr:rowOff>
    </xdr:from>
    <xdr:to>
      <xdr:col>24</xdr:col>
      <xdr:colOff>77261</xdr:colOff>
      <xdr:row>61</xdr:row>
      <xdr:rowOff>19050</xdr:rowOff>
    </xdr:to>
    <xdr:grpSp>
      <xdr:nvGrpSpPr>
        <xdr:cNvPr id="29" name="Gruppieren 28"/>
        <xdr:cNvGrpSpPr>
          <a:grpSpLocks noChangeAspect="1"/>
        </xdr:cNvGrpSpPr>
      </xdr:nvGrpSpPr>
      <xdr:grpSpPr>
        <a:xfrm>
          <a:off x="647700" y="11277600"/>
          <a:ext cx="7201961" cy="10239375"/>
          <a:chOff x="9906000" y="571500"/>
          <a:chExt cx="7199631" cy="10210800"/>
        </a:xfrm>
      </xdr:grpSpPr>
      <xdr:pic>
        <xdr:nvPicPr>
          <xdr:cNvPr id="30" name="Picture 2" descr="Logo-Sec4VET_7cm-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80065" y="571500"/>
            <a:ext cx="2256790" cy="565150"/>
          </a:xfrm>
          <a:prstGeom prst="rect">
            <a:avLst/>
          </a:prstGeom>
          <a:noFill/>
          <a:ln>
            <a:noFill/>
          </a:ln>
          <a:effectLst/>
          <a:extLst/>
        </xdr:spPr>
      </xdr:pic>
      <xdr:grpSp>
        <xdr:nvGrpSpPr>
          <xdr:cNvPr id="31" name="Gruppieren 30"/>
          <xdr:cNvGrpSpPr/>
        </xdr:nvGrpSpPr>
        <xdr:grpSpPr>
          <a:xfrm>
            <a:off x="9906000" y="1266190"/>
            <a:ext cx="7199631" cy="8773160"/>
            <a:chOff x="0" y="0"/>
            <a:chExt cx="7200000" cy="8773200"/>
          </a:xfrm>
        </xdr:grpSpPr>
        <xdr:sp macro="" textlink="">
          <xdr:nvSpPr>
            <xdr:cNvPr id="34" name="Abgerundetes Rechteck 33"/>
            <xdr:cNvSpPr/>
          </xdr:nvSpPr>
          <xdr:spPr>
            <a:xfrm flipH="1">
              <a:off x="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35" name="Rechteck 34"/>
            <xdr:cNvSpPr/>
          </xdr:nvSpPr>
          <xdr:spPr>
            <a:xfrm flipH="1">
              <a:off x="5292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36" name="Abgerundetes Rechteck 35"/>
            <xdr:cNvSpPr/>
          </xdr:nvSpPr>
          <xdr:spPr>
            <a:xfrm flipH="1">
              <a:off x="277200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37" name="Rechteck 36"/>
            <xdr:cNvSpPr/>
          </xdr:nvSpPr>
          <xdr:spPr>
            <a:xfrm flipH="1">
              <a:off x="702000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32" name="Picture 3" descr="erasmus+logo_mic"/>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464030" y="10184765"/>
            <a:ext cx="2101850" cy="597535"/>
          </a:xfrm>
          <a:prstGeom prst="rect">
            <a:avLst/>
          </a:prstGeom>
          <a:noFill/>
          <a:ln>
            <a:noFill/>
          </a:ln>
          <a:effectLst/>
          <a:extLst/>
        </xdr:spPr>
      </xdr:pic>
      <xdr:sp macro="" textlink="">
        <xdr:nvSpPr>
          <xdr:cNvPr id="33" name="Textfeld 2185"/>
          <xdr:cNvSpPr txBox="1"/>
        </xdr:nvSpPr>
        <xdr:spPr>
          <a:xfrm>
            <a:off x="12678410" y="12661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gn="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SEC-I-SR Auswertungsbogen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294050</xdr:colOff>
      <xdr:row>1</xdr:row>
      <xdr:rowOff>0</xdr:rowOff>
    </xdr:from>
    <xdr:to>
      <xdr:col>23</xdr:col>
      <xdr:colOff>0</xdr:colOff>
      <xdr:row>30</xdr:row>
      <xdr:rowOff>19050</xdr:rowOff>
    </xdr:to>
    <xdr:grpSp>
      <xdr:nvGrpSpPr>
        <xdr:cNvPr id="11" name="Gruppieren 10"/>
        <xdr:cNvGrpSpPr>
          <a:grpSpLocks noChangeAspect="1"/>
        </xdr:cNvGrpSpPr>
      </xdr:nvGrpSpPr>
      <xdr:grpSpPr>
        <a:xfrm>
          <a:off x="294050" y="352425"/>
          <a:ext cx="7154500" cy="10239375"/>
          <a:chOff x="8212666" y="762000"/>
          <a:chExt cx="7199631" cy="10210800"/>
        </a:xfrm>
      </xdr:grpSpPr>
      <xdr:pic>
        <xdr:nvPicPr>
          <xdr:cNvPr id="12" name="Picture 2" descr="Logo-Sec4VET_7cm-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077" y="762000"/>
            <a:ext cx="2256790" cy="565150"/>
          </a:xfrm>
          <a:prstGeom prst="rect">
            <a:avLst/>
          </a:prstGeom>
          <a:noFill/>
          <a:ln>
            <a:noFill/>
          </a:ln>
          <a:effectLst/>
          <a:extLst/>
        </xdr:spPr>
      </xdr:pic>
      <xdr:grpSp>
        <xdr:nvGrpSpPr>
          <xdr:cNvPr id="13" name="Gruppieren 12"/>
          <xdr:cNvGrpSpPr/>
        </xdr:nvGrpSpPr>
        <xdr:grpSpPr>
          <a:xfrm>
            <a:off x="8212666" y="1456690"/>
            <a:ext cx="7199631" cy="8773160"/>
            <a:chOff x="0" y="0"/>
            <a:chExt cx="7200000" cy="8773200"/>
          </a:xfrm>
        </xdr:grpSpPr>
        <xdr:sp macro="" textlink="">
          <xdr:nvSpPr>
            <xdr:cNvPr id="16" name="Abgerundetes Rechteck 15"/>
            <xdr:cNvSpPr/>
          </xdr:nvSpPr>
          <xdr:spPr>
            <a:xfrm>
              <a:off x="54000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17" name="Rechteck 16"/>
            <xdr:cNvSpPr/>
          </xdr:nvSpPr>
          <xdr:spPr>
            <a:xfrm>
              <a:off x="360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18" name="Abgerundetes Rechteck 17"/>
            <xdr:cNvSpPr/>
          </xdr:nvSpPr>
          <xdr:spPr>
            <a:xfrm>
              <a:off x="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19" name="Rechteck 18"/>
            <xdr:cNvSpPr/>
          </xdr:nvSpPr>
          <xdr:spPr>
            <a:xfrm>
              <a:off x="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14" name="Picture 3" descr="erasmus+logo_mic"/>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53052" y="10375265"/>
            <a:ext cx="2101850" cy="597535"/>
          </a:xfrm>
          <a:prstGeom prst="rect">
            <a:avLst/>
          </a:prstGeom>
          <a:noFill/>
          <a:ln>
            <a:noFill/>
          </a:ln>
          <a:effectLst/>
          <a:extLst/>
        </xdr:spPr>
      </xdr:pic>
      <xdr:sp macro="" textlink="">
        <xdr:nvSpPr>
          <xdr:cNvPr id="15" name="Textfeld 2144"/>
          <xdr:cNvSpPr txBox="1"/>
        </xdr:nvSpPr>
        <xdr:spPr>
          <a:xfrm>
            <a:off x="9040707" y="14566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SEC-I-OR Auswertungsbogen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23</xdr:col>
      <xdr:colOff>294050</xdr:colOff>
      <xdr:row>1</xdr:row>
      <xdr:rowOff>0</xdr:rowOff>
    </xdr:from>
    <xdr:to>
      <xdr:col>46</xdr:col>
      <xdr:colOff>0</xdr:colOff>
      <xdr:row>30</xdr:row>
      <xdr:rowOff>19051</xdr:rowOff>
    </xdr:to>
    <xdr:grpSp>
      <xdr:nvGrpSpPr>
        <xdr:cNvPr id="20" name="Gruppieren 19"/>
        <xdr:cNvGrpSpPr>
          <a:grpSpLocks noChangeAspect="1"/>
        </xdr:cNvGrpSpPr>
      </xdr:nvGrpSpPr>
      <xdr:grpSpPr>
        <a:xfrm>
          <a:off x="7742600" y="352425"/>
          <a:ext cx="7154500" cy="10239376"/>
          <a:chOff x="8212666" y="762000"/>
          <a:chExt cx="7199631" cy="10210800"/>
        </a:xfrm>
      </xdr:grpSpPr>
      <xdr:pic>
        <xdr:nvPicPr>
          <xdr:cNvPr id="21" name="Picture 2" descr="Logo-Sec4VET_7cm-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077" y="762000"/>
            <a:ext cx="2256790" cy="565150"/>
          </a:xfrm>
          <a:prstGeom prst="rect">
            <a:avLst/>
          </a:prstGeom>
          <a:noFill/>
          <a:ln>
            <a:noFill/>
          </a:ln>
          <a:effectLst/>
          <a:extLst/>
        </xdr:spPr>
      </xdr:pic>
      <xdr:grpSp>
        <xdr:nvGrpSpPr>
          <xdr:cNvPr id="22" name="Gruppieren 21"/>
          <xdr:cNvGrpSpPr/>
        </xdr:nvGrpSpPr>
        <xdr:grpSpPr>
          <a:xfrm>
            <a:off x="8212666" y="1456690"/>
            <a:ext cx="7199631" cy="8773160"/>
            <a:chOff x="0" y="0"/>
            <a:chExt cx="7200000" cy="8773200"/>
          </a:xfrm>
        </xdr:grpSpPr>
        <xdr:sp macro="" textlink="">
          <xdr:nvSpPr>
            <xdr:cNvPr id="25" name="Abgerundetes Rechteck 24"/>
            <xdr:cNvSpPr/>
          </xdr:nvSpPr>
          <xdr:spPr>
            <a:xfrm>
              <a:off x="54000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26" name="Rechteck 25"/>
            <xdr:cNvSpPr/>
          </xdr:nvSpPr>
          <xdr:spPr>
            <a:xfrm>
              <a:off x="360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27" name="Abgerundetes Rechteck 26"/>
            <xdr:cNvSpPr/>
          </xdr:nvSpPr>
          <xdr:spPr>
            <a:xfrm>
              <a:off x="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28" name="Rechteck 27"/>
            <xdr:cNvSpPr/>
          </xdr:nvSpPr>
          <xdr:spPr>
            <a:xfrm>
              <a:off x="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23" name="Picture 3" descr="erasmus+logo_mic"/>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53052" y="10375265"/>
            <a:ext cx="2101850" cy="597535"/>
          </a:xfrm>
          <a:prstGeom prst="rect">
            <a:avLst/>
          </a:prstGeom>
          <a:noFill/>
          <a:ln>
            <a:noFill/>
          </a:ln>
          <a:effectLst/>
          <a:extLst/>
        </xdr:spPr>
      </xdr:pic>
      <xdr:sp macro="" textlink="">
        <xdr:nvSpPr>
          <xdr:cNvPr id="24" name="Textfeld 2144"/>
          <xdr:cNvSpPr txBox="1"/>
        </xdr:nvSpPr>
        <xdr:spPr>
          <a:xfrm>
            <a:off x="9040707" y="14566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SEC-I-OR Auswertungsbogen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xdr:col>
      <xdr:colOff>0</xdr:colOff>
      <xdr:row>32</xdr:row>
      <xdr:rowOff>0</xdr:rowOff>
    </xdr:from>
    <xdr:to>
      <xdr:col>24</xdr:col>
      <xdr:colOff>77261</xdr:colOff>
      <xdr:row>61</xdr:row>
      <xdr:rowOff>19050</xdr:rowOff>
    </xdr:to>
    <xdr:grpSp>
      <xdr:nvGrpSpPr>
        <xdr:cNvPr id="29" name="Gruppieren 28"/>
        <xdr:cNvGrpSpPr>
          <a:grpSpLocks noChangeAspect="1"/>
        </xdr:cNvGrpSpPr>
      </xdr:nvGrpSpPr>
      <xdr:grpSpPr>
        <a:xfrm>
          <a:off x="647700" y="11277600"/>
          <a:ext cx="7201961" cy="10239375"/>
          <a:chOff x="9906000" y="571500"/>
          <a:chExt cx="7199631" cy="10210800"/>
        </a:xfrm>
      </xdr:grpSpPr>
      <xdr:pic>
        <xdr:nvPicPr>
          <xdr:cNvPr id="30" name="Picture 2" descr="Logo-Sec4VET_7cm-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80065" y="571500"/>
            <a:ext cx="2256790" cy="565150"/>
          </a:xfrm>
          <a:prstGeom prst="rect">
            <a:avLst/>
          </a:prstGeom>
          <a:noFill/>
          <a:ln>
            <a:noFill/>
          </a:ln>
          <a:effectLst/>
          <a:extLst/>
        </xdr:spPr>
      </xdr:pic>
      <xdr:grpSp>
        <xdr:nvGrpSpPr>
          <xdr:cNvPr id="31" name="Gruppieren 30"/>
          <xdr:cNvGrpSpPr/>
        </xdr:nvGrpSpPr>
        <xdr:grpSpPr>
          <a:xfrm>
            <a:off x="9906000" y="1266190"/>
            <a:ext cx="7199631" cy="8773160"/>
            <a:chOff x="0" y="0"/>
            <a:chExt cx="7200000" cy="8773200"/>
          </a:xfrm>
        </xdr:grpSpPr>
        <xdr:sp macro="" textlink="">
          <xdr:nvSpPr>
            <xdr:cNvPr id="34" name="Abgerundetes Rechteck 33"/>
            <xdr:cNvSpPr/>
          </xdr:nvSpPr>
          <xdr:spPr>
            <a:xfrm flipH="1">
              <a:off x="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35" name="Rechteck 34"/>
            <xdr:cNvSpPr/>
          </xdr:nvSpPr>
          <xdr:spPr>
            <a:xfrm flipH="1">
              <a:off x="5292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36" name="Abgerundetes Rechteck 35"/>
            <xdr:cNvSpPr/>
          </xdr:nvSpPr>
          <xdr:spPr>
            <a:xfrm flipH="1">
              <a:off x="277200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37" name="Rechteck 36"/>
            <xdr:cNvSpPr/>
          </xdr:nvSpPr>
          <xdr:spPr>
            <a:xfrm flipH="1">
              <a:off x="702000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32" name="Picture 3" descr="erasmus+logo_mic"/>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464030" y="10184765"/>
            <a:ext cx="2101850" cy="597535"/>
          </a:xfrm>
          <a:prstGeom prst="rect">
            <a:avLst/>
          </a:prstGeom>
          <a:noFill/>
          <a:ln>
            <a:noFill/>
          </a:ln>
          <a:effectLst/>
          <a:extLst/>
        </xdr:spPr>
      </xdr:pic>
      <xdr:sp macro="" textlink="">
        <xdr:nvSpPr>
          <xdr:cNvPr id="33" name="Textfeld 2185"/>
          <xdr:cNvSpPr txBox="1"/>
        </xdr:nvSpPr>
        <xdr:spPr>
          <a:xfrm>
            <a:off x="12678410" y="12661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gn="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SEC-I-OR Auswertungsbogen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294050</xdr:colOff>
      <xdr:row>1</xdr:row>
      <xdr:rowOff>0</xdr:rowOff>
    </xdr:from>
    <xdr:to>
      <xdr:col>23</xdr:col>
      <xdr:colOff>0</xdr:colOff>
      <xdr:row>30</xdr:row>
      <xdr:rowOff>19050</xdr:rowOff>
    </xdr:to>
    <xdr:grpSp>
      <xdr:nvGrpSpPr>
        <xdr:cNvPr id="11" name="Gruppieren 10"/>
        <xdr:cNvGrpSpPr>
          <a:grpSpLocks noChangeAspect="1"/>
        </xdr:cNvGrpSpPr>
      </xdr:nvGrpSpPr>
      <xdr:grpSpPr>
        <a:xfrm>
          <a:off x="294050" y="352425"/>
          <a:ext cx="7154500" cy="10239375"/>
          <a:chOff x="8212666" y="762000"/>
          <a:chExt cx="7199631" cy="10210800"/>
        </a:xfrm>
      </xdr:grpSpPr>
      <xdr:pic>
        <xdr:nvPicPr>
          <xdr:cNvPr id="12" name="Picture 2" descr="Logo-Sec4VET_7cm-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077" y="762000"/>
            <a:ext cx="2256790" cy="565150"/>
          </a:xfrm>
          <a:prstGeom prst="rect">
            <a:avLst/>
          </a:prstGeom>
          <a:noFill/>
          <a:ln>
            <a:noFill/>
          </a:ln>
          <a:effectLst/>
          <a:extLst/>
        </xdr:spPr>
      </xdr:pic>
      <xdr:grpSp>
        <xdr:nvGrpSpPr>
          <xdr:cNvPr id="13" name="Gruppieren 12"/>
          <xdr:cNvGrpSpPr/>
        </xdr:nvGrpSpPr>
        <xdr:grpSpPr>
          <a:xfrm>
            <a:off x="8212666" y="1456690"/>
            <a:ext cx="7199631" cy="8773160"/>
            <a:chOff x="0" y="0"/>
            <a:chExt cx="7200000" cy="8773200"/>
          </a:xfrm>
        </xdr:grpSpPr>
        <xdr:sp macro="" textlink="">
          <xdr:nvSpPr>
            <xdr:cNvPr id="16" name="Abgerundetes Rechteck 15"/>
            <xdr:cNvSpPr/>
          </xdr:nvSpPr>
          <xdr:spPr>
            <a:xfrm>
              <a:off x="54000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17" name="Rechteck 16"/>
            <xdr:cNvSpPr/>
          </xdr:nvSpPr>
          <xdr:spPr>
            <a:xfrm>
              <a:off x="360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18" name="Abgerundetes Rechteck 17"/>
            <xdr:cNvSpPr/>
          </xdr:nvSpPr>
          <xdr:spPr>
            <a:xfrm>
              <a:off x="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19" name="Rechteck 18"/>
            <xdr:cNvSpPr/>
          </xdr:nvSpPr>
          <xdr:spPr>
            <a:xfrm>
              <a:off x="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14" name="Picture 3" descr="erasmus+logo_mic"/>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53052" y="10375265"/>
            <a:ext cx="2101850" cy="597535"/>
          </a:xfrm>
          <a:prstGeom prst="rect">
            <a:avLst/>
          </a:prstGeom>
          <a:noFill/>
          <a:ln>
            <a:noFill/>
          </a:ln>
          <a:effectLst/>
          <a:extLst/>
        </xdr:spPr>
      </xdr:pic>
      <xdr:sp macro="" textlink="">
        <xdr:nvSpPr>
          <xdr:cNvPr id="15" name="Textfeld 2144"/>
          <xdr:cNvSpPr txBox="1"/>
        </xdr:nvSpPr>
        <xdr:spPr>
          <a:xfrm>
            <a:off x="9040707" y="14566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SEC-SJT Auswertungsbogen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23</xdr:col>
      <xdr:colOff>294050</xdr:colOff>
      <xdr:row>1</xdr:row>
      <xdr:rowOff>0</xdr:rowOff>
    </xdr:from>
    <xdr:to>
      <xdr:col>46</xdr:col>
      <xdr:colOff>0</xdr:colOff>
      <xdr:row>30</xdr:row>
      <xdr:rowOff>19051</xdr:rowOff>
    </xdr:to>
    <xdr:grpSp>
      <xdr:nvGrpSpPr>
        <xdr:cNvPr id="20" name="Gruppieren 19"/>
        <xdr:cNvGrpSpPr>
          <a:grpSpLocks noChangeAspect="1"/>
        </xdr:cNvGrpSpPr>
      </xdr:nvGrpSpPr>
      <xdr:grpSpPr>
        <a:xfrm>
          <a:off x="7742600" y="352425"/>
          <a:ext cx="7154500" cy="10239376"/>
          <a:chOff x="8212666" y="762000"/>
          <a:chExt cx="7199631" cy="10210800"/>
        </a:xfrm>
      </xdr:grpSpPr>
      <xdr:pic>
        <xdr:nvPicPr>
          <xdr:cNvPr id="21" name="Picture 2" descr="Logo-Sec4VET_7cm-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077" y="762000"/>
            <a:ext cx="2256790" cy="565150"/>
          </a:xfrm>
          <a:prstGeom prst="rect">
            <a:avLst/>
          </a:prstGeom>
          <a:noFill/>
          <a:ln>
            <a:noFill/>
          </a:ln>
          <a:effectLst/>
          <a:extLst/>
        </xdr:spPr>
      </xdr:pic>
      <xdr:grpSp>
        <xdr:nvGrpSpPr>
          <xdr:cNvPr id="22" name="Gruppieren 21"/>
          <xdr:cNvGrpSpPr/>
        </xdr:nvGrpSpPr>
        <xdr:grpSpPr>
          <a:xfrm>
            <a:off x="8212666" y="1456690"/>
            <a:ext cx="7199631" cy="8773160"/>
            <a:chOff x="0" y="0"/>
            <a:chExt cx="7200000" cy="8773200"/>
          </a:xfrm>
        </xdr:grpSpPr>
        <xdr:sp macro="" textlink="">
          <xdr:nvSpPr>
            <xdr:cNvPr id="25" name="Abgerundetes Rechteck 24"/>
            <xdr:cNvSpPr/>
          </xdr:nvSpPr>
          <xdr:spPr>
            <a:xfrm>
              <a:off x="54000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26" name="Rechteck 25"/>
            <xdr:cNvSpPr/>
          </xdr:nvSpPr>
          <xdr:spPr>
            <a:xfrm>
              <a:off x="360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27" name="Abgerundetes Rechteck 26"/>
            <xdr:cNvSpPr/>
          </xdr:nvSpPr>
          <xdr:spPr>
            <a:xfrm>
              <a:off x="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28" name="Rechteck 27"/>
            <xdr:cNvSpPr/>
          </xdr:nvSpPr>
          <xdr:spPr>
            <a:xfrm>
              <a:off x="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23" name="Picture 3" descr="erasmus+logo_mic"/>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53052" y="10375265"/>
            <a:ext cx="2101850" cy="597535"/>
          </a:xfrm>
          <a:prstGeom prst="rect">
            <a:avLst/>
          </a:prstGeom>
          <a:noFill/>
          <a:ln>
            <a:noFill/>
          </a:ln>
          <a:effectLst/>
          <a:extLst/>
        </xdr:spPr>
      </xdr:pic>
      <xdr:sp macro="" textlink="">
        <xdr:nvSpPr>
          <xdr:cNvPr id="24" name="Textfeld 2144"/>
          <xdr:cNvSpPr txBox="1"/>
        </xdr:nvSpPr>
        <xdr:spPr>
          <a:xfrm>
            <a:off x="9040707" y="14566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SEC-SJT Auswertungsbogen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xdr:col>
      <xdr:colOff>0</xdr:colOff>
      <xdr:row>32</xdr:row>
      <xdr:rowOff>0</xdr:rowOff>
    </xdr:from>
    <xdr:to>
      <xdr:col>24</xdr:col>
      <xdr:colOff>77261</xdr:colOff>
      <xdr:row>61</xdr:row>
      <xdr:rowOff>19050</xdr:rowOff>
    </xdr:to>
    <xdr:grpSp>
      <xdr:nvGrpSpPr>
        <xdr:cNvPr id="29" name="Gruppieren 28"/>
        <xdr:cNvGrpSpPr>
          <a:grpSpLocks noChangeAspect="1"/>
        </xdr:cNvGrpSpPr>
      </xdr:nvGrpSpPr>
      <xdr:grpSpPr>
        <a:xfrm>
          <a:off x="647700" y="11277600"/>
          <a:ext cx="7201961" cy="10239375"/>
          <a:chOff x="9906000" y="571500"/>
          <a:chExt cx="7199631" cy="10210800"/>
        </a:xfrm>
      </xdr:grpSpPr>
      <xdr:pic>
        <xdr:nvPicPr>
          <xdr:cNvPr id="30" name="Picture 2" descr="Logo-Sec4VET_7cm-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80065" y="571500"/>
            <a:ext cx="2256790" cy="565150"/>
          </a:xfrm>
          <a:prstGeom prst="rect">
            <a:avLst/>
          </a:prstGeom>
          <a:noFill/>
          <a:ln>
            <a:noFill/>
          </a:ln>
          <a:effectLst/>
          <a:extLst/>
        </xdr:spPr>
      </xdr:pic>
      <xdr:grpSp>
        <xdr:nvGrpSpPr>
          <xdr:cNvPr id="31" name="Gruppieren 30"/>
          <xdr:cNvGrpSpPr/>
        </xdr:nvGrpSpPr>
        <xdr:grpSpPr>
          <a:xfrm>
            <a:off x="9906000" y="1266190"/>
            <a:ext cx="7199631" cy="8773160"/>
            <a:chOff x="0" y="0"/>
            <a:chExt cx="7200000" cy="8773200"/>
          </a:xfrm>
        </xdr:grpSpPr>
        <xdr:sp macro="" textlink="">
          <xdr:nvSpPr>
            <xdr:cNvPr id="34" name="Abgerundetes Rechteck 33"/>
            <xdr:cNvSpPr/>
          </xdr:nvSpPr>
          <xdr:spPr>
            <a:xfrm flipH="1">
              <a:off x="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35" name="Rechteck 34"/>
            <xdr:cNvSpPr/>
          </xdr:nvSpPr>
          <xdr:spPr>
            <a:xfrm flipH="1">
              <a:off x="5292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36" name="Abgerundetes Rechteck 35"/>
            <xdr:cNvSpPr/>
          </xdr:nvSpPr>
          <xdr:spPr>
            <a:xfrm flipH="1">
              <a:off x="277200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37" name="Rechteck 36"/>
            <xdr:cNvSpPr/>
          </xdr:nvSpPr>
          <xdr:spPr>
            <a:xfrm flipH="1">
              <a:off x="702000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32" name="Picture 3" descr="erasmus+logo_mic"/>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464030" y="10184765"/>
            <a:ext cx="2101850" cy="597535"/>
          </a:xfrm>
          <a:prstGeom prst="rect">
            <a:avLst/>
          </a:prstGeom>
          <a:noFill/>
          <a:ln>
            <a:noFill/>
          </a:ln>
          <a:effectLst/>
          <a:extLst/>
        </xdr:spPr>
      </xdr:pic>
      <xdr:sp macro="" textlink="">
        <xdr:nvSpPr>
          <xdr:cNvPr id="33" name="Textfeld 2185"/>
          <xdr:cNvSpPr txBox="1"/>
        </xdr:nvSpPr>
        <xdr:spPr>
          <a:xfrm>
            <a:off x="12678410" y="12661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gn="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SEC-SJT Auswertungsbogen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25</xdr:col>
      <xdr:colOff>0</xdr:colOff>
      <xdr:row>32</xdr:row>
      <xdr:rowOff>0</xdr:rowOff>
    </xdr:from>
    <xdr:to>
      <xdr:col>47</xdr:col>
      <xdr:colOff>77261</xdr:colOff>
      <xdr:row>61</xdr:row>
      <xdr:rowOff>19049</xdr:rowOff>
    </xdr:to>
    <xdr:grpSp>
      <xdr:nvGrpSpPr>
        <xdr:cNvPr id="2" name="Gruppieren 1"/>
        <xdr:cNvGrpSpPr>
          <a:grpSpLocks noChangeAspect="1"/>
        </xdr:cNvGrpSpPr>
      </xdr:nvGrpSpPr>
      <xdr:grpSpPr>
        <a:xfrm>
          <a:off x="8096250" y="11277600"/>
          <a:ext cx="7201961" cy="10239374"/>
          <a:chOff x="9906000" y="571500"/>
          <a:chExt cx="7199631" cy="10210800"/>
        </a:xfrm>
      </xdr:grpSpPr>
      <xdr:pic>
        <xdr:nvPicPr>
          <xdr:cNvPr id="3" name="Picture 2" descr="Logo-Sec4VET_7cm-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0065" y="571500"/>
            <a:ext cx="2256790" cy="565150"/>
          </a:xfrm>
          <a:prstGeom prst="rect">
            <a:avLst/>
          </a:prstGeom>
          <a:noFill/>
          <a:ln>
            <a:noFill/>
          </a:ln>
          <a:effectLst/>
          <a:extLst/>
        </xdr:spPr>
      </xdr:pic>
      <xdr:grpSp>
        <xdr:nvGrpSpPr>
          <xdr:cNvPr id="4" name="Gruppieren 3"/>
          <xdr:cNvGrpSpPr/>
        </xdr:nvGrpSpPr>
        <xdr:grpSpPr>
          <a:xfrm>
            <a:off x="9906000" y="1266190"/>
            <a:ext cx="7199631" cy="8773160"/>
            <a:chOff x="0" y="0"/>
            <a:chExt cx="7200000" cy="8773200"/>
          </a:xfrm>
        </xdr:grpSpPr>
        <xdr:sp macro="" textlink="">
          <xdr:nvSpPr>
            <xdr:cNvPr id="7" name="Abgerundetes Rechteck 6"/>
            <xdr:cNvSpPr/>
          </xdr:nvSpPr>
          <xdr:spPr>
            <a:xfrm flipH="1">
              <a:off x="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8" name="Rechteck 7"/>
            <xdr:cNvSpPr/>
          </xdr:nvSpPr>
          <xdr:spPr>
            <a:xfrm flipH="1">
              <a:off x="5292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9" name="Abgerundetes Rechteck 8"/>
            <xdr:cNvSpPr/>
          </xdr:nvSpPr>
          <xdr:spPr>
            <a:xfrm flipH="1">
              <a:off x="277200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10" name="Rechteck 9"/>
            <xdr:cNvSpPr/>
          </xdr:nvSpPr>
          <xdr:spPr>
            <a:xfrm flipH="1">
              <a:off x="702000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5" name="Picture 3" descr="erasmus+logo_mic"/>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464030" y="10184765"/>
            <a:ext cx="2101850" cy="597535"/>
          </a:xfrm>
          <a:prstGeom prst="rect">
            <a:avLst/>
          </a:prstGeom>
          <a:noFill/>
          <a:ln>
            <a:noFill/>
          </a:ln>
          <a:effectLst/>
          <a:extLst/>
        </xdr:spPr>
      </xdr:pic>
      <xdr:sp macro="" textlink="">
        <xdr:nvSpPr>
          <xdr:cNvPr id="6" name="Textfeld 2185"/>
          <xdr:cNvSpPr txBox="1"/>
        </xdr:nvSpPr>
        <xdr:spPr>
          <a:xfrm>
            <a:off x="12678410" y="12661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gn="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Profilbogen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0</xdr:col>
      <xdr:colOff>294050</xdr:colOff>
      <xdr:row>1</xdr:row>
      <xdr:rowOff>0</xdr:rowOff>
    </xdr:from>
    <xdr:to>
      <xdr:col>23</xdr:col>
      <xdr:colOff>0</xdr:colOff>
      <xdr:row>30</xdr:row>
      <xdr:rowOff>19050</xdr:rowOff>
    </xdr:to>
    <xdr:grpSp>
      <xdr:nvGrpSpPr>
        <xdr:cNvPr id="11" name="Gruppieren 10"/>
        <xdr:cNvGrpSpPr>
          <a:grpSpLocks noChangeAspect="1"/>
        </xdr:cNvGrpSpPr>
      </xdr:nvGrpSpPr>
      <xdr:grpSpPr>
        <a:xfrm>
          <a:off x="294050" y="352425"/>
          <a:ext cx="7154500" cy="10239375"/>
          <a:chOff x="8212666" y="762000"/>
          <a:chExt cx="7199631" cy="10210800"/>
        </a:xfrm>
      </xdr:grpSpPr>
      <xdr:pic>
        <xdr:nvPicPr>
          <xdr:cNvPr id="12" name="Picture 2" descr="Logo-Sec4VET_7cm-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077" y="762000"/>
            <a:ext cx="2256790" cy="565150"/>
          </a:xfrm>
          <a:prstGeom prst="rect">
            <a:avLst/>
          </a:prstGeom>
          <a:noFill/>
          <a:ln>
            <a:noFill/>
          </a:ln>
          <a:effectLst/>
          <a:extLst/>
        </xdr:spPr>
      </xdr:pic>
      <xdr:grpSp>
        <xdr:nvGrpSpPr>
          <xdr:cNvPr id="13" name="Gruppieren 12"/>
          <xdr:cNvGrpSpPr/>
        </xdr:nvGrpSpPr>
        <xdr:grpSpPr>
          <a:xfrm>
            <a:off x="8212666" y="1456690"/>
            <a:ext cx="7199631" cy="8773160"/>
            <a:chOff x="0" y="0"/>
            <a:chExt cx="7200000" cy="8773200"/>
          </a:xfrm>
        </xdr:grpSpPr>
        <xdr:sp macro="" textlink="">
          <xdr:nvSpPr>
            <xdr:cNvPr id="16" name="Abgerundetes Rechteck 15"/>
            <xdr:cNvSpPr/>
          </xdr:nvSpPr>
          <xdr:spPr>
            <a:xfrm>
              <a:off x="54000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17" name="Rechteck 16"/>
            <xdr:cNvSpPr/>
          </xdr:nvSpPr>
          <xdr:spPr>
            <a:xfrm>
              <a:off x="360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18" name="Abgerundetes Rechteck 17"/>
            <xdr:cNvSpPr/>
          </xdr:nvSpPr>
          <xdr:spPr>
            <a:xfrm>
              <a:off x="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19" name="Rechteck 18"/>
            <xdr:cNvSpPr/>
          </xdr:nvSpPr>
          <xdr:spPr>
            <a:xfrm>
              <a:off x="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14" name="Picture 3" descr="erasmus+logo_mic"/>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53052" y="10375265"/>
            <a:ext cx="2101850" cy="597535"/>
          </a:xfrm>
          <a:prstGeom prst="rect">
            <a:avLst/>
          </a:prstGeom>
          <a:noFill/>
          <a:ln>
            <a:noFill/>
          </a:ln>
          <a:effectLst/>
          <a:extLst/>
        </xdr:spPr>
      </xdr:pic>
      <xdr:sp macro="" textlink="">
        <xdr:nvSpPr>
          <xdr:cNvPr id="15" name="Textfeld 2144"/>
          <xdr:cNvSpPr txBox="1"/>
        </xdr:nvSpPr>
        <xdr:spPr>
          <a:xfrm>
            <a:off x="9040707" y="14566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Profilbogen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23</xdr:col>
      <xdr:colOff>294050</xdr:colOff>
      <xdr:row>1</xdr:row>
      <xdr:rowOff>0</xdr:rowOff>
    </xdr:from>
    <xdr:to>
      <xdr:col>46</xdr:col>
      <xdr:colOff>0</xdr:colOff>
      <xdr:row>30</xdr:row>
      <xdr:rowOff>19051</xdr:rowOff>
    </xdr:to>
    <xdr:grpSp>
      <xdr:nvGrpSpPr>
        <xdr:cNvPr id="20" name="Gruppieren 19"/>
        <xdr:cNvGrpSpPr>
          <a:grpSpLocks noChangeAspect="1"/>
        </xdr:cNvGrpSpPr>
      </xdr:nvGrpSpPr>
      <xdr:grpSpPr>
        <a:xfrm>
          <a:off x="7742600" y="352425"/>
          <a:ext cx="7154500" cy="10239376"/>
          <a:chOff x="8212666" y="762000"/>
          <a:chExt cx="7199631" cy="10210800"/>
        </a:xfrm>
      </xdr:grpSpPr>
      <xdr:pic>
        <xdr:nvPicPr>
          <xdr:cNvPr id="21" name="Picture 2" descr="Logo-Sec4VET_7cm-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077" y="762000"/>
            <a:ext cx="2256790" cy="565150"/>
          </a:xfrm>
          <a:prstGeom prst="rect">
            <a:avLst/>
          </a:prstGeom>
          <a:noFill/>
          <a:ln>
            <a:noFill/>
          </a:ln>
          <a:effectLst/>
          <a:extLst/>
        </xdr:spPr>
      </xdr:pic>
      <xdr:grpSp>
        <xdr:nvGrpSpPr>
          <xdr:cNvPr id="22" name="Gruppieren 21"/>
          <xdr:cNvGrpSpPr/>
        </xdr:nvGrpSpPr>
        <xdr:grpSpPr>
          <a:xfrm>
            <a:off x="8212666" y="1456690"/>
            <a:ext cx="7199631" cy="8773160"/>
            <a:chOff x="0" y="0"/>
            <a:chExt cx="7200000" cy="8773200"/>
          </a:xfrm>
        </xdr:grpSpPr>
        <xdr:sp macro="" textlink="">
          <xdr:nvSpPr>
            <xdr:cNvPr id="25" name="Abgerundetes Rechteck 24"/>
            <xdr:cNvSpPr/>
          </xdr:nvSpPr>
          <xdr:spPr>
            <a:xfrm>
              <a:off x="54000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26" name="Rechteck 25"/>
            <xdr:cNvSpPr/>
          </xdr:nvSpPr>
          <xdr:spPr>
            <a:xfrm>
              <a:off x="360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27" name="Abgerundetes Rechteck 26"/>
            <xdr:cNvSpPr/>
          </xdr:nvSpPr>
          <xdr:spPr>
            <a:xfrm>
              <a:off x="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28" name="Rechteck 27"/>
            <xdr:cNvSpPr/>
          </xdr:nvSpPr>
          <xdr:spPr>
            <a:xfrm>
              <a:off x="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23" name="Picture 3" descr="erasmus+logo_mic"/>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753052" y="10375265"/>
            <a:ext cx="2101850" cy="597535"/>
          </a:xfrm>
          <a:prstGeom prst="rect">
            <a:avLst/>
          </a:prstGeom>
          <a:noFill/>
          <a:ln>
            <a:noFill/>
          </a:ln>
          <a:effectLst/>
          <a:extLst/>
        </xdr:spPr>
      </xdr:pic>
      <xdr:sp macro="" textlink="">
        <xdr:nvSpPr>
          <xdr:cNvPr id="24" name="Textfeld 2144"/>
          <xdr:cNvSpPr txBox="1"/>
        </xdr:nvSpPr>
        <xdr:spPr>
          <a:xfrm>
            <a:off x="9040707" y="14566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Profilbogen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2</xdr:col>
      <xdr:colOff>0</xdr:colOff>
      <xdr:row>32</xdr:row>
      <xdr:rowOff>0</xdr:rowOff>
    </xdr:from>
    <xdr:to>
      <xdr:col>24</xdr:col>
      <xdr:colOff>77261</xdr:colOff>
      <xdr:row>61</xdr:row>
      <xdr:rowOff>19050</xdr:rowOff>
    </xdr:to>
    <xdr:grpSp>
      <xdr:nvGrpSpPr>
        <xdr:cNvPr id="29" name="Gruppieren 28"/>
        <xdr:cNvGrpSpPr>
          <a:grpSpLocks noChangeAspect="1"/>
        </xdr:cNvGrpSpPr>
      </xdr:nvGrpSpPr>
      <xdr:grpSpPr>
        <a:xfrm>
          <a:off x="647700" y="11277600"/>
          <a:ext cx="7201961" cy="10239375"/>
          <a:chOff x="9906000" y="571500"/>
          <a:chExt cx="7199631" cy="10210800"/>
        </a:xfrm>
      </xdr:grpSpPr>
      <xdr:pic>
        <xdr:nvPicPr>
          <xdr:cNvPr id="30" name="Picture 2" descr="Logo-Sec4VET_7cm-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0065" y="571500"/>
            <a:ext cx="2256790" cy="565150"/>
          </a:xfrm>
          <a:prstGeom prst="rect">
            <a:avLst/>
          </a:prstGeom>
          <a:noFill/>
          <a:ln>
            <a:noFill/>
          </a:ln>
          <a:effectLst/>
          <a:extLst/>
        </xdr:spPr>
      </xdr:pic>
      <xdr:grpSp>
        <xdr:nvGrpSpPr>
          <xdr:cNvPr id="31" name="Gruppieren 30"/>
          <xdr:cNvGrpSpPr/>
        </xdr:nvGrpSpPr>
        <xdr:grpSpPr>
          <a:xfrm>
            <a:off x="9906000" y="1266190"/>
            <a:ext cx="7199631" cy="8773160"/>
            <a:chOff x="0" y="0"/>
            <a:chExt cx="7200000" cy="8773200"/>
          </a:xfrm>
        </xdr:grpSpPr>
        <xdr:sp macro="" textlink="">
          <xdr:nvSpPr>
            <xdr:cNvPr id="34" name="Abgerundetes Rechteck 33"/>
            <xdr:cNvSpPr/>
          </xdr:nvSpPr>
          <xdr:spPr>
            <a:xfrm flipH="1">
              <a:off x="0" y="216000"/>
              <a:ext cx="6660000" cy="8557200"/>
            </a:xfrm>
            <a:prstGeom prst="roundRect">
              <a:avLst>
                <a:gd name="adj" fmla="val 6042"/>
              </a:avLst>
            </a:prstGeom>
            <a:no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35" name="Rechteck 34"/>
            <xdr:cNvSpPr/>
          </xdr:nvSpPr>
          <xdr:spPr>
            <a:xfrm flipH="1">
              <a:off x="5292000" y="216000"/>
              <a:ext cx="1548000" cy="540000"/>
            </a:xfrm>
            <a:prstGeom prst="rect">
              <a:avLst/>
            </a:prstGeom>
            <a:solidFill>
              <a:schemeClr val="bg1"/>
            </a:solidFill>
            <a:ln w="28575">
              <a:solidFill>
                <a:srgbClr val="CC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endParaRPr lang="de-DE"/>
            </a:p>
          </xdr:txBody>
        </xdr:sp>
        <xdr:sp macro="" textlink="">
          <xdr:nvSpPr>
            <xdr:cNvPr id="36" name="Abgerundetes Rechteck 35"/>
            <xdr:cNvSpPr/>
          </xdr:nvSpPr>
          <xdr:spPr>
            <a:xfrm flipH="1">
              <a:off x="2772000" y="0"/>
              <a:ext cx="4428000" cy="432000"/>
            </a:xfrm>
            <a:prstGeom prst="roundRect">
              <a:avLst>
                <a:gd name="adj" fmla="val 50000"/>
              </a:avLst>
            </a:prstGeom>
            <a:solidFill>
              <a:srgbClr val="003399"/>
            </a:solidFill>
            <a:ln w="285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sp macro="" textlink="">
          <xdr:nvSpPr>
            <xdr:cNvPr id="37" name="Rechteck 36"/>
            <xdr:cNvSpPr/>
          </xdr:nvSpPr>
          <xdr:spPr>
            <a:xfrm flipH="1">
              <a:off x="7020000" y="0"/>
              <a:ext cx="180000" cy="432000"/>
            </a:xfrm>
            <a:prstGeom prst="rect">
              <a:avLst/>
            </a:pr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1" rIns="91440" bIns="45721" numCol="1" spcCol="0" rtlCol="0" fromWordArt="0" anchor="ctr" anchorCtr="0" forceAA="0" compatLnSpc="1">
              <a:prstTxWarp prst="textNoShape">
                <a:avLst/>
              </a:prstTxWarp>
              <a:noAutofit/>
            </a:bodyPr>
            <a:lstStyle/>
            <a:p>
              <a:endParaRPr lang="de-DE"/>
            </a:p>
          </xdr:txBody>
        </xdr:sp>
      </xdr:grpSp>
      <xdr:pic>
        <xdr:nvPicPr>
          <xdr:cNvPr id="32" name="Picture 3" descr="erasmus+logo_mic"/>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464030" y="10184765"/>
            <a:ext cx="2101850" cy="597535"/>
          </a:xfrm>
          <a:prstGeom prst="rect">
            <a:avLst/>
          </a:prstGeom>
          <a:noFill/>
          <a:ln>
            <a:noFill/>
          </a:ln>
          <a:effectLst/>
          <a:extLst/>
        </xdr:spPr>
      </xdr:pic>
      <xdr:sp macro="" textlink="">
        <xdr:nvSpPr>
          <xdr:cNvPr id="33" name="Textfeld 2185"/>
          <xdr:cNvSpPr txBox="1"/>
        </xdr:nvSpPr>
        <xdr:spPr>
          <a:xfrm>
            <a:off x="12678410" y="1266190"/>
            <a:ext cx="3599815" cy="431800"/>
          </a:xfrm>
          <a:prstGeom prst="rect">
            <a:avLst/>
          </a:prstGeom>
          <a:noFill/>
          <a:ln w="6350">
            <a:noFill/>
          </a:ln>
        </xdr:spPr>
        <xdr:txBody>
          <a:bodyPr rot="0" spcFirstLastPara="0" vert="horz" wrap="square" lIns="0" tIns="0" rIns="0" bIns="0" numCol="1" spcCol="0" rtlCol="0" fromWordArt="0" anchor="ctr" anchorCtr="0" forceAA="0" compatLnSpc="1">
            <a:prstTxWarp prst="textNoShape">
              <a:avLst/>
            </a:prstTxWarp>
            <a:noAutofit/>
          </a:bodyPr>
          <a:lstStyle/>
          <a:p>
            <a:pPr algn="r">
              <a:lnSpc>
                <a:spcPct val="107000"/>
              </a:lnSpc>
              <a:spcAft>
                <a:spcPts val="0"/>
              </a:spcAft>
            </a:pPr>
            <a:r>
              <a:rPr lang="de-DE" sz="1600" b="1">
                <a:solidFill>
                  <a:srgbClr val="FFFFFF"/>
                </a:solidFill>
                <a:effectLst/>
                <a:latin typeface="Arial" panose="020B0604020202020204" pitchFamily="34" charset="0"/>
                <a:ea typeface="Calibri" panose="020F0502020204030204" pitchFamily="34" charset="0"/>
                <a:cs typeface="Times New Roman" panose="02020603050405020304" pitchFamily="18" charset="0"/>
              </a:rPr>
              <a:t>Profilbogen</a:t>
            </a:r>
            <a:endParaRPr lang="de-DE" sz="1200">
              <a:effectLst/>
              <a:latin typeface="Arial" panose="020B0604020202020204" pitchFamily="34" charset="0"/>
              <a:ea typeface="Calibri" panose="020F0502020204030204" pitchFamily="34" charset="0"/>
              <a:cs typeface="Times New Roman" panose="02020603050405020304" pitchFamily="18" charset="0"/>
            </a:endParaRPr>
          </a:p>
        </xdr:txBody>
      </xdr:sp>
    </xdr:grpSp>
    <xdr:clientData/>
  </xdr:twoCellAnchor>
  <xdr:twoCellAnchor>
    <xdr:from>
      <xdr:col>27</xdr:col>
      <xdr:colOff>0</xdr:colOff>
      <xdr:row>11</xdr:row>
      <xdr:rowOff>0</xdr:rowOff>
    </xdr:from>
    <xdr:to>
      <xdr:col>45</xdr:col>
      <xdr:colOff>0</xdr:colOff>
      <xdr:row>25</xdr:row>
      <xdr:rowOff>0</xdr:rowOff>
    </xdr:to>
    <xdr:graphicFrame macro="">
      <xdr:nvGraphicFramePr>
        <xdr:cNvPr id="40" name="Diagramm 3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0</xdr:colOff>
      <xdr:row>1</xdr:row>
      <xdr:rowOff>0</xdr:rowOff>
    </xdr:from>
    <xdr:to>
      <xdr:col>19</xdr:col>
      <xdr:colOff>204000</xdr:colOff>
      <xdr:row>22</xdr:row>
      <xdr:rowOff>139500</xdr:rowOff>
    </xdr:to>
    <xdr:graphicFrame macro="">
      <xdr:nvGraphicFramePr>
        <xdr:cNvPr id="2" name="Diagram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SEC_I_norm" displayName="SEC_I_norm" ref="A1:BD60" totalsRowShown="0">
  <autoFilter ref="A1:BD60"/>
  <tableColumns count="56">
    <tableColumn id="1" name="T"/>
    <tableColumn id="2" name="PR"/>
    <tableColumn id="3" name="SEC-SR_total"/>
    <tableColumn id="4" name="SEC-SR_female"/>
    <tableColumn id="5" name="SEC-SR_male"/>
    <tableColumn id="6" name="SEC-OR_total"/>
    <tableColumn id="7" name="SEC-OR_female"/>
    <tableColumn id="8" name="SEC-OR_male"/>
    <tableColumn id="9" name="EBE-SR_total"/>
    <tableColumn id="10" name="EBE-SR_female"/>
    <tableColumn id="11" name="EBE-SR_male"/>
    <tableColumn id="12" name="EBE-OR_total"/>
    <tableColumn id="13" name="EBE-OR_female"/>
    <tableColumn id="14" name="EBE-OR_male"/>
    <tableColumn id="15" name="ECO-SR_total"/>
    <tableColumn id="16" name="ECO-SR_female"/>
    <tableColumn id="17" name="ECO-SR_male"/>
    <tableColumn id="18" name="ECO-OR_total"/>
    <tableColumn id="19" name="ECO-OR_female"/>
    <tableColumn id="20" name="ECO-OR_male"/>
    <tableColumn id="21" name="PEA-SR_total"/>
    <tableColumn id="22" name="PEA-SR_female"/>
    <tableColumn id="23" name="PEA-SR_male"/>
    <tableColumn id="24" name="PEA-OR_total"/>
    <tableColumn id="25" name="PEA-OR_female"/>
    <tableColumn id="26" name="PEA-OR_male"/>
    <tableColumn id="27" name="PES-SR_total"/>
    <tableColumn id="28" name="PES-SR_female"/>
    <tableColumn id="29" name="PES-SR_male"/>
    <tableColumn id="30" name="PES-OR_total"/>
    <tableColumn id="31" name="PES-OR_female"/>
    <tableColumn id="32" name="PES-OR_male"/>
    <tableColumn id="33" name="REA-SR_total"/>
    <tableColumn id="34" name="REA-SR_female"/>
    <tableColumn id="35" name="REA-SR_male"/>
    <tableColumn id="36" name="REA-OR_total"/>
    <tableColumn id="37" name="REA-OR_female"/>
    <tableColumn id="38" name="REA-OR_male"/>
    <tableColumn id="39" name="RES-SR_total"/>
    <tableColumn id="40" name="RES-SR_female"/>
    <tableColumn id="41" name="RES-SR_male"/>
    <tableColumn id="42" name="RES-OR_total"/>
    <tableColumn id="43" name="RES-OR_female"/>
    <tableColumn id="44" name="RES-OR_male"/>
    <tableColumn id="45" name="SOB-SR_total"/>
    <tableColumn id="46" name="SOB-SR_female"/>
    <tableColumn id="47" name="SOB-SR_male"/>
    <tableColumn id="48" name="SOB-OR_total"/>
    <tableColumn id="49" name="SOB-OR_female"/>
    <tableColumn id="50" name="SOB-OR_male"/>
    <tableColumn id="51" name="SON-SR_total"/>
    <tableColumn id="52" name="SON-SR_female"/>
    <tableColumn id="53" name="SON-SR_male"/>
    <tableColumn id="54" name="SON-OR_total"/>
    <tableColumn id="55" name="SON-OR_female"/>
    <tableColumn id="56" name="SON-OR_male"/>
  </tableColumns>
  <tableStyleInfo name="TableStyleMedium2" showFirstColumn="0" showLastColumn="0" showRowStripes="1" showColumnStripes="0"/>
</table>
</file>

<file path=xl/tables/table2.xml><?xml version="1.0" encoding="utf-8"?>
<table xmlns="http://schemas.openxmlformats.org/spreadsheetml/2006/main" id="2" name="Tabelle2" displayName="Tabelle2" ref="A1:D12" totalsRowShown="0">
  <autoFilter ref="A1:D12"/>
  <tableColumns count="4">
    <tableColumn id="1" name="SEC-SJT"/>
    <tableColumn id="2" name="PR_total"/>
    <tableColumn id="3" name="PR_female"/>
    <tableColumn id="4" name="PR_male"/>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showGridLines="0" showRowColHeaders="0" tabSelected="1" zoomScaleNormal="100" workbookViewId="0">
      <selection activeCell="AB16" sqref="AB16"/>
    </sheetView>
  </sheetViews>
  <sheetFormatPr baseColWidth="10" defaultColWidth="11.42578125" defaultRowHeight="15" x14ac:dyDescent="0.2"/>
  <cols>
    <col min="1" max="1" width="4.85546875" style="5" customWidth="1"/>
    <col min="2" max="23" width="4.85546875" style="1" customWidth="1"/>
    <col min="24" max="24" width="4.85546875" style="5" customWidth="1"/>
    <col min="25" max="47" width="4.85546875" style="1" customWidth="1"/>
    <col min="48" max="16384" width="11.42578125" style="1"/>
  </cols>
  <sheetData>
    <row r="1" spans="4:22" s="5" customFormat="1" ht="28.35" customHeight="1" x14ac:dyDescent="0.2"/>
    <row r="2" spans="4:22" ht="28.35" customHeight="1" x14ac:dyDescent="0.2"/>
    <row r="3" spans="4:22" ht="28.35" customHeight="1" x14ac:dyDescent="0.2"/>
    <row r="4" spans="4:22" ht="28.35" customHeight="1" x14ac:dyDescent="0.2">
      <c r="D4" s="28"/>
      <c r="E4" s="28"/>
      <c r="F4" s="28"/>
      <c r="G4" s="28"/>
      <c r="H4" s="28"/>
      <c r="I4" s="28"/>
      <c r="J4" s="28"/>
      <c r="K4" s="28"/>
      <c r="L4" s="28"/>
      <c r="M4" s="28"/>
      <c r="N4" s="28"/>
      <c r="O4" s="28"/>
      <c r="P4" s="28"/>
      <c r="Q4" s="28"/>
      <c r="R4" s="28"/>
      <c r="S4" s="28"/>
      <c r="T4" s="28"/>
      <c r="U4" s="28"/>
      <c r="V4" s="28"/>
    </row>
    <row r="5" spans="4:22" ht="28.35" customHeight="1" x14ac:dyDescent="0.2">
      <c r="D5" s="28"/>
      <c r="E5" s="28"/>
      <c r="F5" s="28"/>
      <c r="G5" s="28"/>
      <c r="H5" s="28"/>
      <c r="I5" s="28"/>
      <c r="J5" s="28"/>
      <c r="K5" s="28"/>
      <c r="L5" s="28"/>
      <c r="M5" s="28"/>
      <c r="N5" s="28"/>
      <c r="O5" s="28"/>
      <c r="P5" s="28"/>
      <c r="Q5" s="28"/>
      <c r="R5" s="28"/>
      <c r="S5" s="28"/>
      <c r="T5" s="28"/>
      <c r="U5" s="28"/>
      <c r="V5" s="28"/>
    </row>
    <row r="6" spans="4:22" ht="28.35" customHeight="1" x14ac:dyDescent="0.2">
      <c r="D6" s="28"/>
      <c r="E6" s="28"/>
      <c r="F6" s="28"/>
      <c r="G6" s="28"/>
      <c r="H6" s="28"/>
      <c r="I6" s="28"/>
      <c r="J6" s="28"/>
      <c r="K6" s="28"/>
      <c r="L6" s="28"/>
      <c r="M6" s="28"/>
      <c r="N6" s="28"/>
      <c r="O6" s="28"/>
      <c r="P6" s="28"/>
      <c r="Q6" s="28"/>
      <c r="R6" s="28"/>
      <c r="S6" s="28"/>
      <c r="T6" s="28"/>
      <c r="U6" s="28"/>
      <c r="V6" s="28"/>
    </row>
    <row r="7" spans="4:22" ht="28.35" customHeight="1" x14ac:dyDescent="0.2">
      <c r="D7" s="28"/>
      <c r="E7" s="29"/>
      <c r="F7" s="29"/>
      <c r="G7" s="29"/>
      <c r="H7" s="29"/>
      <c r="I7" s="29"/>
      <c r="J7" s="29"/>
      <c r="K7" s="29"/>
      <c r="L7" s="29"/>
      <c r="M7" s="30"/>
      <c r="N7" s="30"/>
      <c r="O7" s="30"/>
      <c r="P7" s="30"/>
      <c r="Q7" s="30"/>
      <c r="R7" s="30"/>
      <c r="S7" s="28"/>
      <c r="T7" s="28"/>
      <c r="U7" s="28"/>
      <c r="V7" s="28"/>
    </row>
    <row r="8" spans="4:22" ht="28.35" customHeight="1" x14ac:dyDescent="0.2">
      <c r="D8" s="28"/>
      <c r="E8" s="28"/>
      <c r="F8" s="28"/>
      <c r="G8" s="28"/>
      <c r="H8" s="28"/>
      <c r="I8" s="28"/>
      <c r="J8" s="28"/>
      <c r="K8" s="28"/>
      <c r="L8" s="28"/>
      <c r="M8" s="28"/>
      <c r="N8" s="28"/>
      <c r="O8" s="28"/>
      <c r="P8" s="28"/>
      <c r="Q8" s="28"/>
      <c r="R8" s="28"/>
      <c r="S8" s="28"/>
      <c r="T8" s="28"/>
      <c r="U8" s="28"/>
      <c r="V8" s="28"/>
    </row>
    <row r="9" spans="4:22" ht="28.35" customHeight="1" x14ac:dyDescent="0.2">
      <c r="D9" s="28"/>
      <c r="E9" s="31"/>
      <c r="F9" s="31"/>
      <c r="G9" s="31"/>
      <c r="H9" s="31"/>
      <c r="I9" s="31"/>
      <c r="J9" s="31"/>
      <c r="K9" s="31"/>
      <c r="L9" s="31"/>
      <c r="M9" s="28"/>
      <c r="N9" s="28"/>
      <c r="O9" s="28"/>
      <c r="P9" s="28"/>
      <c r="Q9" s="28"/>
      <c r="R9" s="28"/>
      <c r="S9" s="28"/>
      <c r="T9" s="28"/>
      <c r="U9" s="28"/>
      <c r="V9" s="28"/>
    </row>
    <row r="10" spans="4:22" ht="28.35" customHeight="1" x14ac:dyDescent="0.2">
      <c r="D10" s="28"/>
      <c r="E10" s="28"/>
      <c r="F10" s="28"/>
      <c r="G10" s="28"/>
      <c r="H10" s="28"/>
      <c r="I10" s="28"/>
      <c r="J10" s="28"/>
      <c r="K10" s="28"/>
      <c r="L10" s="28"/>
      <c r="M10" s="28"/>
      <c r="N10" s="28"/>
      <c r="O10" s="28"/>
      <c r="P10" s="28"/>
      <c r="Q10" s="28"/>
      <c r="R10" s="28"/>
      <c r="S10" s="28"/>
      <c r="T10" s="28"/>
      <c r="U10" s="28"/>
      <c r="V10" s="28"/>
    </row>
    <row r="11" spans="4:22" ht="28.35" customHeight="1" x14ac:dyDescent="0.2">
      <c r="D11" s="28"/>
      <c r="E11" s="32"/>
      <c r="F11" s="32"/>
      <c r="G11" s="32"/>
      <c r="H11" s="32"/>
      <c r="I11" s="32"/>
      <c r="J11" s="32"/>
      <c r="K11" s="32"/>
      <c r="L11" s="32"/>
      <c r="M11" s="30"/>
      <c r="N11" s="30"/>
      <c r="O11" s="30"/>
      <c r="P11" s="30"/>
      <c r="Q11" s="30"/>
      <c r="R11" s="30"/>
      <c r="S11" s="28"/>
      <c r="T11" s="28"/>
      <c r="U11" s="28"/>
      <c r="V11" s="28"/>
    </row>
    <row r="12" spans="4:22" ht="28.35" customHeight="1" x14ac:dyDescent="0.2">
      <c r="D12" s="28"/>
      <c r="E12" s="29"/>
      <c r="F12" s="29"/>
      <c r="G12" s="29"/>
      <c r="H12" s="29"/>
      <c r="I12" s="29"/>
      <c r="J12" s="29"/>
      <c r="K12" s="29"/>
      <c r="L12" s="29"/>
      <c r="M12" s="30"/>
      <c r="N12" s="30"/>
      <c r="O12" s="30"/>
      <c r="P12" s="30"/>
      <c r="Q12" s="30"/>
      <c r="R12" s="30"/>
      <c r="S12" s="28"/>
      <c r="T12" s="28"/>
      <c r="U12" s="28"/>
      <c r="V12" s="28"/>
    </row>
    <row r="13" spans="4:22" ht="28.35" customHeight="1" x14ac:dyDescent="0.2">
      <c r="D13" s="28"/>
      <c r="E13" s="29"/>
      <c r="F13" s="29"/>
      <c r="G13" s="29"/>
      <c r="H13" s="29"/>
      <c r="I13" s="29"/>
      <c r="J13" s="29"/>
      <c r="K13" s="29"/>
      <c r="L13" s="29"/>
      <c r="M13" s="30"/>
      <c r="N13" s="30"/>
      <c r="O13" s="30"/>
      <c r="P13" s="30"/>
      <c r="Q13" s="30"/>
      <c r="R13" s="30"/>
      <c r="S13" s="28"/>
      <c r="T13" s="28"/>
      <c r="U13" s="28"/>
      <c r="V13" s="28"/>
    </row>
    <row r="14" spans="4:22" ht="28.35" customHeight="1" x14ac:dyDescent="0.2">
      <c r="D14" s="28"/>
      <c r="E14" s="22"/>
      <c r="F14" s="22"/>
      <c r="G14" s="22"/>
      <c r="H14" s="22"/>
      <c r="I14" s="22"/>
      <c r="J14" s="22"/>
      <c r="K14" s="22"/>
      <c r="L14" s="22"/>
      <c r="M14" s="22"/>
      <c r="N14" s="22"/>
      <c r="O14" s="22"/>
      <c r="P14" s="22"/>
      <c r="Q14" s="22"/>
      <c r="R14" s="22"/>
      <c r="S14" s="23"/>
      <c r="T14" s="28"/>
      <c r="U14" s="28"/>
      <c r="V14" s="28"/>
    </row>
    <row r="15" spans="4:22" ht="28.35" customHeight="1" x14ac:dyDescent="0.2">
      <c r="D15" s="28"/>
      <c r="E15" s="31"/>
      <c r="F15" s="31"/>
      <c r="G15" s="31"/>
      <c r="H15" s="31"/>
      <c r="I15" s="31"/>
      <c r="J15" s="31"/>
      <c r="K15" s="31"/>
      <c r="L15" s="31"/>
      <c r="M15" s="24"/>
      <c r="N15" s="24"/>
      <c r="O15" s="24"/>
      <c r="P15" s="24"/>
      <c r="Q15" s="24"/>
      <c r="R15" s="24"/>
      <c r="S15" s="24"/>
      <c r="T15" s="24"/>
      <c r="U15" s="24"/>
      <c r="V15" s="24"/>
    </row>
    <row r="16" spans="4:22" ht="28.35" customHeight="1" x14ac:dyDescent="0.2">
      <c r="D16" s="28"/>
      <c r="E16" s="25"/>
      <c r="F16" s="25"/>
      <c r="G16" s="25"/>
      <c r="H16" s="25"/>
      <c r="I16" s="25"/>
      <c r="J16" s="25"/>
      <c r="K16" s="25"/>
      <c r="L16" s="25"/>
      <c r="M16" s="25"/>
      <c r="N16" s="25"/>
      <c r="O16" s="25"/>
      <c r="P16" s="25"/>
      <c r="Q16" s="25"/>
      <c r="R16" s="25"/>
      <c r="S16" s="25"/>
      <c r="T16" s="25"/>
      <c r="U16" s="25"/>
      <c r="V16" s="25"/>
    </row>
    <row r="17" spans="4:22" ht="28.35" customHeight="1" x14ac:dyDescent="0.2">
      <c r="D17" s="28"/>
      <c r="E17" s="26"/>
      <c r="F17" s="26"/>
      <c r="G17" s="26"/>
      <c r="H17" s="26"/>
      <c r="I17" s="26"/>
      <c r="J17" s="26"/>
      <c r="K17" s="26"/>
      <c r="L17" s="26"/>
      <c r="M17" s="26"/>
      <c r="N17" s="26"/>
      <c r="O17" s="26"/>
      <c r="P17" s="26"/>
      <c r="Q17" s="26"/>
      <c r="R17" s="26"/>
      <c r="S17" s="26"/>
      <c r="T17" s="26"/>
      <c r="U17" s="26"/>
      <c r="V17" s="26"/>
    </row>
    <row r="18" spans="4:22" ht="28.35" customHeight="1" x14ac:dyDescent="0.2">
      <c r="D18" s="28"/>
      <c r="E18" s="26"/>
      <c r="F18" s="26"/>
      <c r="G18" s="26"/>
      <c r="H18" s="26"/>
      <c r="I18" s="26"/>
      <c r="J18" s="26"/>
      <c r="K18" s="26"/>
      <c r="L18" s="26"/>
      <c r="M18" s="26"/>
      <c r="N18" s="26"/>
      <c r="O18" s="26"/>
      <c r="P18" s="26"/>
      <c r="Q18" s="26"/>
      <c r="R18" s="26"/>
      <c r="S18" s="26"/>
      <c r="T18" s="26"/>
      <c r="U18" s="26"/>
      <c r="V18" s="26"/>
    </row>
    <row r="19" spans="4:22" ht="28.35" customHeight="1" x14ac:dyDescent="0.2">
      <c r="D19" s="28"/>
      <c r="E19" s="26"/>
      <c r="F19" s="26"/>
      <c r="G19" s="26"/>
      <c r="H19" s="26"/>
      <c r="I19" s="26"/>
      <c r="J19" s="26"/>
      <c r="K19" s="26"/>
      <c r="L19" s="26"/>
      <c r="M19" s="26"/>
      <c r="N19" s="26"/>
      <c r="O19" s="26"/>
      <c r="P19" s="26"/>
      <c r="Q19" s="26"/>
      <c r="R19" s="26"/>
      <c r="S19" s="26"/>
      <c r="T19" s="26"/>
      <c r="U19" s="26"/>
      <c r="V19" s="26"/>
    </row>
    <row r="20" spans="4:22" ht="28.35" customHeight="1" x14ac:dyDescent="0.2">
      <c r="D20" s="28"/>
      <c r="E20" s="26"/>
      <c r="F20" s="26"/>
      <c r="G20" s="26"/>
      <c r="H20" s="26"/>
      <c r="I20" s="26"/>
      <c r="J20" s="26"/>
      <c r="K20" s="26"/>
      <c r="L20" s="26"/>
      <c r="M20" s="26"/>
      <c r="N20" s="26"/>
      <c r="O20" s="26"/>
      <c r="P20" s="26"/>
      <c r="Q20" s="26"/>
      <c r="R20" s="26"/>
      <c r="S20" s="26"/>
      <c r="T20" s="26"/>
      <c r="U20" s="26"/>
      <c r="V20" s="26"/>
    </row>
    <row r="21" spans="4:22" ht="28.35" customHeight="1" x14ac:dyDescent="0.2">
      <c r="D21" s="28"/>
      <c r="E21" s="26"/>
      <c r="F21" s="26"/>
      <c r="G21" s="26"/>
      <c r="H21" s="26"/>
      <c r="I21" s="26"/>
      <c r="J21" s="26"/>
      <c r="K21" s="26"/>
      <c r="L21" s="26"/>
      <c r="M21" s="26"/>
      <c r="N21" s="26"/>
      <c r="O21" s="26"/>
      <c r="P21" s="26"/>
      <c r="Q21" s="26"/>
      <c r="R21" s="26"/>
      <c r="S21" s="26"/>
      <c r="T21" s="26"/>
      <c r="U21" s="26"/>
      <c r="V21" s="26"/>
    </row>
    <row r="22" spans="4:22" ht="28.35" customHeight="1" x14ac:dyDescent="0.2">
      <c r="D22" s="28"/>
      <c r="E22" s="27"/>
      <c r="F22" s="27"/>
      <c r="G22" s="27"/>
      <c r="H22" s="27"/>
      <c r="I22" s="27"/>
      <c r="J22" s="27"/>
      <c r="K22" s="27"/>
      <c r="L22" s="27"/>
      <c r="M22" s="27"/>
      <c r="N22" s="27"/>
      <c r="O22" s="27"/>
      <c r="P22" s="27"/>
      <c r="Q22" s="27"/>
      <c r="R22" s="27"/>
      <c r="S22" s="27"/>
      <c r="T22" s="27"/>
      <c r="U22" s="27"/>
      <c r="V22" s="27"/>
    </row>
    <row r="23" spans="4:22" ht="28.35" customHeight="1" x14ac:dyDescent="0.2">
      <c r="D23" s="28"/>
      <c r="E23" s="27"/>
      <c r="F23" s="27"/>
      <c r="G23" s="27"/>
      <c r="H23" s="27"/>
      <c r="I23" s="27"/>
      <c r="J23" s="27"/>
      <c r="K23" s="27"/>
      <c r="L23" s="27"/>
      <c r="M23" s="27"/>
      <c r="N23" s="27"/>
      <c r="O23" s="27"/>
      <c r="P23" s="27"/>
      <c r="Q23" s="27"/>
      <c r="R23" s="27"/>
      <c r="S23" s="27"/>
      <c r="T23" s="27"/>
      <c r="U23" s="27"/>
      <c r="V23" s="27"/>
    </row>
    <row r="24" spans="4:22" ht="28.35" customHeight="1" x14ac:dyDescent="0.2">
      <c r="D24" s="28"/>
      <c r="E24" s="27"/>
      <c r="F24" s="27"/>
      <c r="G24" s="27"/>
      <c r="H24" s="27"/>
      <c r="I24" s="27"/>
      <c r="J24" s="27"/>
      <c r="K24" s="27"/>
      <c r="L24" s="27"/>
      <c r="M24" s="27"/>
      <c r="N24" s="27"/>
      <c r="O24" s="27"/>
      <c r="P24" s="27"/>
      <c r="Q24" s="27"/>
      <c r="R24" s="27"/>
      <c r="S24" s="27"/>
      <c r="T24" s="27"/>
      <c r="U24" s="27"/>
      <c r="V24" s="27"/>
    </row>
    <row r="25" spans="4:22" ht="28.35" customHeight="1" x14ac:dyDescent="0.2">
      <c r="D25" s="28"/>
      <c r="E25" s="27"/>
      <c r="F25" s="27"/>
      <c r="G25" s="27"/>
      <c r="H25" s="27"/>
      <c r="I25" s="27"/>
      <c r="J25" s="27"/>
      <c r="K25" s="27"/>
      <c r="L25" s="27"/>
      <c r="M25" s="27"/>
      <c r="N25" s="27"/>
      <c r="O25" s="27"/>
      <c r="P25" s="27"/>
      <c r="Q25" s="27"/>
      <c r="R25" s="27"/>
      <c r="S25" s="27"/>
      <c r="T25" s="27"/>
      <c r="U25" s="27"/>
      <c r="V25" s="27"/>
    </row>
    <row r="26" spans="4:22" ht="28.35" customHeight="1" x14ac:dyDescent="0.2">
      <c r="E26" s="3"/>
      <c r="F26" s="3"/>
      <c r="G26" s="3"/>
      <c r="H26" s="3"/>
      <c r="I26" s="3"/>
      <c r="J26" s="3"/>
      <c r="K26" s="3"/>
      <c r="L26" s="3"/>
      <c r="M26" s="3"/>
      <c r="N26" s="3"/>
      <c r="O26" s="3"/>
      <c r="P26" s="3"/>
      <c r="Q26" s="3"/>
      <c r="R26" s="3"/>
      <c r="S26" s="3"/>
      <c r="T26" s="3"/>
    </row>
    <row r="27" spans="4:22" ht="28.35" customHeight="1" x14ac:dyDescent="0.2"/>
    <row r="28" spans="4:22" ht="28.35" customHeight="1" x14ac:dyDescent="0.2"/>
    <row r="29" spans="4:22" ht="28.35" customHeight="1" x14ac:dyDescent="0.2">
      <c r="M29" s="20"/>
    </row>
    <row r="30" spans="4:22" ht="28.35" customHeight="1" x14ac:dyDescent="0.2"/>
    <row r="31" spans="4:22" s="5" customFormat="1" ht="28.35" customHeight="1" x14ac:dyDescent="0.2"/>
    <row r="32" spans="4:22" ht="28.35" customHeight="1" x14ac:dyDescent="0.2"/>
    <row r="33" ht="28.35" customHeight="1" x14ac:dyDescent="0.2"/>
    <row r="34" ht="28.35" customHeight="1" x14ac:dyDescent="0.2"/>
    <row r="35" ht="28.35" customHeight="1" x14ac:dyDescent="0.2"/>
    <row r="36" ht="28.35" customHeight="1" x14ac:dyDescent="0.2"/>
    <row r="37" ht="28.35" customHeight="1" x14ac:dyDescent="0.2"/>
    <row r="38" ht="28.35" customHeight="1" x14ac:dyDescent="0.2"/>
    <row r="39" ht="28.35" customHeight="1" x14ac:dyDescent="0.2"/>
    <row r="40" ht="28.35" customHeight="1" x14ac:dyDescent="0.2"/>
    <row r="41" ht="28.35" customHeight="1" x14ac:dyDescent="0.2"/>
    <row r="42" ht="28.35" customHeight="1" x14ac:dyDescent="0.2"/>
    <row r="43" ht="28.35" customHeight="1" x14ac:dyDescent="0.2"/>
    <row r="44" ht="28.35" customHeight="1" x14ac:dyDescent="0.2"/>
    <row r="45" ht="28.35" customHeight="1" x14ac:dyDescent="0.2"/>
    <row r="46" ht="28.35" customHeight="1" x14ac:dyDescent="0.2"/>
    <row r="47" ht="28.35" customHeight="1" x14ac:dyDescent="0.2"/>
    <row r="48" ht="28.35" customHeight="1" x14ac:dyDescent="0.2"/>
    <row r="49" ht="28.35" customHeight="1" x14ac:dyDescent="0.2"/>
    <row r="50" ht="28.35" customHeight="1" x14ac:dyDescent="0.2"/>
    <row r="51" ht="28.35" customHeight="1" x14ac:dyDescent="0.2"/>
    <row r="52" ht="28.35" customHeight="1" x14ac:dyDescent="0.2"/>
    <row r="53" ht="28.35" customHeight="1" x14ac:dyDescent="0.2"/>
    <row r="54" ht="28.35" customHeight="1" x14ac:dyDescent="0.2"/>
    <row r="55" ht="28.35" customHeight="1" x14ac:dyDescent="0.2"/>
    <row r="56" ht="28.35" customHeight="1" x14ac:dyDescent="0.2"/>
    <row r="57" ht="28.35" customHeight="1" x14ac:dyDescent="0.2"/>
    <row r="58" ht="28.35" customHeight="1" x14ac:dyDescent="0.2"/>
    <row r="59" ht="28.35" customHeight="1" x14ac:dyDescent="0.2"/>
    <row r="60" ht="28.35" customHeight="1" x14ac:dyDescent="0.2"/>
    <row r="61" ht="28.35" customHeight="1" x14ac:dyDescent="0.2"/>
    <row r="62" ht="28.35" customHeight="1" x14ac:dyDescent="0.2"/>
  </sheetData>
  <sheetProtection algorithmName="SHA-512" hashValue="EwPrIu8gPK6yvR3iK5/2pTPvWK8Qh7en2cGXD5aa3jIfD3Ze9UbRUUDNEA96b4Jh+hJwmzDK42rnqDRqeiQqWg==" saltValue="Drg2hJ9O+sdz1xGcf4Rvmw==" spinCount="100000" sheet="1" objects="1" scenarios="1" selectLockedCells="1"/>
  <dataValidations count="2">
    <dataValidation type="date" operator="greaterThan" allowBlank="1" showInputMessage="1" showErrorMessage="1" errorTitle="Datum" error="Bitte geben Sie ein gültiges Datum ein." sqref="M7:R7">
      <formula1>44042</formula1>
    </dataValidation>
    <dataValidation type="list" showInputMessage="1" showErrorMessage="1" errorTitle="Geschlecht" error="Bitte wählen Sie ein gültiges Geschlecht." sqref="M13:R13">
      <formula1>#REF!</formula1>
    </dataValidation>
  </dataValidations>
  <printOptions horizontalCentered="1" verticalCentered="1"/>
  <pageMargins left="0" right="0" top="0" bottom="0" header="0" footer="0"/>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62"/>
  <sheetViews>
    <sheetView showGridLines="0" showRowColHeaders="0" zoomScaleNormal="100" workbookViewId="0">
      <selection activeCell="S42" sqref="S42:U54"/>
    </sheetView>
  </sheetViews>
  <sheetFormatPr baseColWidth="10" defaultColWidth="11.42578125" defaultRowHeight="15.75" x14ac:dyDescent="0.25"/>
  <cols>
    <col min="1" max="1" width="4.85546875" style="5" customWidth="1"/>
    <col min="2" max="47" width="4.85546875" style="1" customWidth="1"/>
    <col min="48" max="52" width="11.42578125" style="14"/>
    <col min="53" max="74" width="11.42578125" style="14" hidden="1" customWidth="1"/>
    <col min="75" max="78" width="11.42578125" style="1" hidden="1" customWidth="1"/>
    <col min="79" max="16384" width="11.42578125" style="1"/>
  </cols>
  <sheetData>
    <row r="1" spans="5:74" s="5" customFormat="1" ht="28.35" customHeight="1" x14ac:dyDescent="0.25">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row>
    <row r="2" spans="5:74" ht="28.35" customHeight="1" x14ac:dyDescent="0.25"/>
    <row r="3" spans="5:74" ht="28.35" customHeight="1" x14ac:dyDescent="0.25"/>
    <row r="4" spans="5:74" ht="28.35" customHeight="1" x14ac:dyDescent="0.25"/>
    <row r="5" spans="5:74" ht="28.35" customHeight="1" x14ac:dyDescent="0.25"/>
    <row r="6" spans="5:74" ht="28.35" customHeight="1" x14ac:dyDescent="0.25"/>
    <row r="7" spans="5:74" ht="28.35" customHeight="1" x14ac:dyDescent="0.25">
      <c r="E7" s="37" t="s">
        <v>18</v>
      </c>
      <c r="F7" s="37"/>
      <c r="G7" s="37"/>
      <c r="H7" s="37"/>
      <c r="I7" s="37"/>
      <c r="J7" s="37"/>
      <c r="K7" s="37"/>
      <c r="L7" s="37"/>
      <c r="M7" s="52">
        <v>44130</v>
      </c>
      <c r="N7" s="52"/>
      <c r="O7" s="52"/>
      <c r="P7" s="52"/>
      <c r="Q7" s="52"/>
      <c r="R7" s="52"/>
      <c r="AB7" s="39" t="s">
        <v>49</v>
      </c>
      <c r="AC7" s="39"/>
      <c r="AD7" s="39"/>
      <c r="AE7" s="39"/>
      <c r="AF7" s="39"/>
      <c r="AG7" s="39"/>
      <c r="AH7" s="39"/>
      <c r="AI7" s="39"/>
      <c r="AJ7" s="39"/>
      <c r="BA7" s="14" t="s">
        <v>35</v>
      </c>
    </row>
    <row r="8" spans="5:74" ht="28.35" customHeight="1" x14ac:dyDescent="0.25">
      <c r="AB8" s="16" t="s">
        <v>165</v>
      </c>
    </row>
    <row r="9" spans="5:74" ht="28.35" customHeight="1" x14ac:dyDescent="0.25">
      <c r="E9" s="39" t="s">
        <v>19</v>
      </c>
      <c r="F9" s="39"/>
      <c r="G9" s="39"/>
      <c r="H9" s="39"/>
      <c r="I9" s="39"/>
      <c r="J9" s="39"/>
      <c r="K9" s="39"/>
      <c r="L9" s="39"/>
      <c r="AB9" s="21"/>
      <c r="AC9" s="21"/>
      <c r="AD9" s="21"/>
      <c r="AE9" s="21"/>
      <c r="AF9" s="21"/>
      <c r="AG9" s="21"/>
      <c r="AH9" s="21"/>
      <c r="AI9" s="21"/>
      <c r="AJ9" s="21"/>
      <c r="AK9" s="21"/>
      <c r="AL9" s="21"/>
      <c r="AM9" s="21"/>
      <c r="AN9" s="21"/>
      <c r="AO9" s="21"/>
      <c r="AP9" s="21"/>
      <c r="AQ9" s="21"/>
      <c r="AR9" s="21"/>
      <c r="AS9" s="21"/>
      <c r="BA9" s="14" t="s">
        <v>21</v>
      </c>
      <c r="BC9" s="14" t="s">
        <v>17</v>
      </c>
    </row>
    <row r="10" spans="5:74" ht="28.35" customHeight="1" x14ac:dyDescent="0.25">
      <c r="AB10" s="43" t="s">
        <v>182</v>
      </c>
      <c r="AC10" s="44"/>
      <c r="AD10" s="44"/>
      <c r="AE10" s="44"/>
      <c r="AF10" s="44"/>
      <c r="AG10" s="44"/>
      <c r="AH10" s="44"/>
      <c r="AI10" s="44"/>
      <c r="AJ10" s="44"/>
      <c r="AK10" s="44"/>
      <c r="AL10" s="44"/>
      <c r="AM10" s="44"/>
      <c r="AN10" s="44"/>
      <c r="AO10" s="44"/>
      <c r="AP10" s="44"/>
      <c r="AQ10" s="44"/>
      <c r="AR10" s="44"/>
      <c r="AS10" s="45"/>
      <c r="BA10" s="14" t="s">
        <v>16</v>
      </c>
      <c r="BC10" s="14" t="s">
        <v>16</v>
      </c>
    </row>
    <row r="11" spans="5:74" ht="28.35" customHeight="1" x14ac:dyDescent="0.25">
      <c r="E11" s="53" t="s">
        <v>20</v>
      </c>
      <c r="F11" s="53"/>
      <c r="G11" s="53"/>
      <c r="H11" s="53"/>
      <c r="I11" s="53"/>
      <c r="J11" s="53"/>
      <c r="K11" s="53"/>
      <c r="L11" s="53"/>
      <c r="M11" s="54" t="s">
        <v>176</v>
      </c>
      <c r="N11" s="54"/>
      <c r="O11" s="54"/>
      <c r="P11" s="54"/>
      <c r="Q11" s="54"/>
      <c r="R11" s="54"/>
      <c r="AB11" s="46"/>
      <c r="AC11" s="47"/>
      <c r="AD11" s="47"/>
      <c r="AE11" s="47"/>
      <c r="AF11" s="47"/>
      <c r="AG11" s="47"/>
      <c r="AH11" s="47"/>
      <c r="AI11" s="47"/>
      <c r="AJ11" s="47"/>
      <c r="AK11" s="47"/>
      <c r="AL11" s="47"/>
      <c r="AM11" s="47"/>
      <c r="AN11" s="47"/>
      <c r="AO11" s="47"/>
      <c r="AP11" s="47"/>
      <c r="AQ11" s="47"/>
      <c r="AR11" s="47"/>
      <c r="AS11" s="48"/>
      <c r="BA11" s="14" t="s">
        <v>36</v>
      </c>
      <c r="BC11" s="14">
        <v>1</v>
      </c>
    </row>
    <row r="12" spans="5:74" ht="28.35" customHeight="1" x14ac:dyDescent="0.25">
      <c r="E12" s="37" t="s">
        <v>30</v>
      </c>
      <c r="F12" s="37"/>
      <c r="G12" s="37"/>
      <c r="H12" s="37"/>
      <c r="I12" s="37"/>
      <c r="J12" s="37"/>
      <c r="K12" s="37"/>
      <c r="L12" s="37"/>
      <c r="M12" s="38">
        <v>19</v>
      </c>
      <c r="N12" s="38"/>
      <c r="O12" s="38"/>
      <c r="P12" s="38"/>
      <c r="Q12" s="38"/>
      <c r="R12" s="38"/>
      <c r="AB12" s="46"/>
      <c r="AC12" s="47"/>
      <c r="AD12" s="47"/>
      <c r="AE12" s="47"/>
      <c r="AF12" s="47"/>
      <c r="AG12" s="47"/>
      <c r="AH12" s="47"/>
      <c r="AI12" s="47"/>
      <c r="AJ12" s="47"/>
      <c r="AK12" s="47"/>
      <c r="AL12" s="47"/>
      <c r="AM12" s="47"/>
      <c r="AN12" s="47"/>
      <c r="AO12" s="47"/>
      <c r="AP12" s="47"/>
      <c r="AQ12" s="47"/>
      <c r="AR12" s="47"/>
      <c r="AS12" s="48"/>
      <c r="BA12" s="14" t="s">
        <v>37</v>
      </c>
      <c r="BC12" s="14">
        <v>2</v>
      </c>
    </row>
    <row r="13" spans="5:74" ht="28.35" customHeight="1" x14ac:dyDescent="0.25">
      <c r="E13" s="37" t="s">
        <v>31</v>
      </c>
      <c r="F13" s="37"/>
      <c r="G13" s="37"/>
      <c r="H13" s="37"/>
      <c r="I13" s="37"/>
      <c r="J13" s="37"/>
      <c r="K13" s="37"/>
      <c r="L13" s="37"/>
      <c r="M13" s="38" t="s">
        <v>37</v>
      </c>
      <c r="N13" s="38"/>
      <c r="O13" s="38"/>
      <c r="P13" s="38"/>
      <c r="Q13" s="38"/>
      <c r="R13" s="38"/>
      <c r="AB13" s="46"/>
      <c r="AC13" s="47"/>
      <c r="AD13" s="47"/>
      <c r="AE13" s="47"/>
      <c r="AF13" s="47"/>
      <c r="AG13" s="47"/>
      <c r="AH13" s="47"/>
      <c r="AI13" s="47"/>
      <c r="AJ13" s="47"/>
      <c r="AK13" s="47"/>
      <c r="AL13" s="47"/>
      <c r="AM13" s="47"/>
      <c r="AN13" s="47"/>
      <c r="AO13" s="47"/>
      <c r="AP13" s="47"/>
      <c r="AQ13" s="47"/>
      <c r="AR13" s="47"/>
      <c r="AS13" s="48"/>
      <c r="BA13" s="14" t="s">
        <v>38</v>
      </c>
      <c r="BC13" s="14">
        <v>3</v>
      </c>
    </row>
    <row r="14" spans="5:74" ht="28.35" customHeight="1" x14ac:dyDescent="0.25">
      <c r="E14" s="11"/>
      <c r="F14" s="11"/>
      <c r="G14" s="11"/>
      <c r="H14" s="11"/>
      <c r="I14" s="11"/>
      <c r="J14" s="11"/>
      <c r="K14" s="11"/>
      <c r="L14" s="11"/>
      <c r="M14" s="11"/>
      <c r="N14" s="11"/>
      <c r="O14" s="11"/>
      <c r="P14" s="11"/>
      <c r="Q14" s="11"/>
      <c r="R14" s="11"/>
      <c r="S14" s="4"/>
      <c r="AB14" s="46"/>
      <c r="AC14" s="47"/>
      <c r="AD14" s="47"/>
      <c r="AE14" s="47"/>
      <c r="AF14" s="47"/>
      <c r="AG14" s="47"/>
      <c r="AH14" s="47"/>
      <c r="AI14" s="47"/>
      <c r="AJ14" s="47"/>
      <c r="AK14" s="47"/>
      <c r="AL14" s="47"/>
      <c r="AM14" s="47"/>
      <c r="AN14" s="47"/>
      <c r="AO14" s="47"/>
      <c r="AP14" s="47"/>
      <c r="AQ14" s="47"/>
      <c r="AR14" s="47"/>
      <c r="AS14" s="48"/>
      <c r="BC14" s="14">
        <v>4</v>
      </c>
    </row>
    <row r="15" spans="5:74" ht="28.35" customHeight="1" x14ac:dyDescent="0.25">
      <c r="E15" s="39" t="s">
        <v>168</v>
      </c>
      <c r="F15" s="39"/>
      <c r="G15" s="39"/>
      <c r="H15" s="39"/>
      <c r="I15" s="39"/>
      <c r="J15" s="39"/>
      <c r="K15" s="39"/>
      <c r="L15" s="39"/>
      <c r="M15" s="18"/>
      <c r="N15" s="18"/>
      <c r="O15" s="18"/>
      <c r="P15" s="18"/>
      <c r="Q15" s="18"/>
      <c r="R15" s="18"/>
      <c r="S15" s="18"/>
      <c r="T15" s="18"/>
      <c r="U15" s="18"/>
      <c r="V15" s="18"/>
      <c r="AB15" s="46"/>
      <c r="AC15" s="47"/>
      <c r="AD15" s="47"/>
      <c r="AE15" s="47"/>
      <c r="AF15" s="47"/>
      <c r="AG15" s="47"/>
      <c r="AH15" s="47"/>
      <c r="AI15" s="47"/>
      <c r="AJ15" s="47"/>
      <c r="AK15" s="47"/>
      <c r="AL15" s="47"/>
      <c r="AM15" s="47"/>
      <c r="AN15" s="47"/>
      <c r="AO15" s="47"/>
      <c r="AP15" s="47"/>
      <c r="AQ15" s="47"/>
      <c r="AR15" s="47"/>
      <c r="AS15" s="48"/>
      <c r="BC15" s="14">
        <v>5</v>
      </c>
    </row>
    <row r="16" spans="5:74" ht="28.35" customHeight="1" x14ac:dyDescent="0.25">
      <c r="E16" s="17"/>
      <c r="F16" s="17"/>
      <c r="G16" s="17"/>
      <c r="H16" s="17"/>
      <c r="I16" s="17"/>
      <c r="J16" s="17"/>
      <c r="K16" s="17"/>
      <c r="L16" s="17"/>
      <c r="M16" s="17"/>
      <c r="N16" s="17"/>
      <c r="O16" s="17"/>
      <c r="P16" s="17"/>
      <c r="Q16" s="17"/>
      <c r="R16" s="17"/>
      <c r="S16" s="17"/>
      <c r="T16" s="17"/>
      <c r="U16" s="17"/>
      <c r="V16" s="17"/>
      <c r="AB16" s="46"/>
      <c r="AC16" s="47"/>
      <c r="AD16" s="47"/>
      <c r="AE16" s="47"/>
      <c r="AF16" s="47"/>
      <c r="AG16" s="47"/>
      <c r="AH16" s="47"/>
      <c r="AI16" s="47"/>
      <c r="AJ16" s="47"/>
      <c r="AK16" s="47"/>
      <c r="AL16" s="47"/>
      <c r="AM16" s="47"/>
      <c r="AN16" s="47"/>
      <c r="AO16" s="47"/>
      <c r="AP16" s="47"/>
      <c r="AQ16" s="47"/>
      <c r="AR16" s="47"/>
      <c r="AS16" s="48"/>
    </row>
    <row r="17" spans="5:74" ht="28.35" customHeight="1" x14ac:dyDescent="0.25">
      <c r="E17" s="34" t="s">
        <v>180</v>
      </c>
      <c r="F17" s="34"/>
      <c r="G17" s="34"/>
      <c r="H17" s="34"/>
      <c r="I17" s="34"/>
      <c r="J17" s="34"/>
      <c r="K17" s="34"/>
      <c r="L17" s="34"/>
      <c r="M17" s="34"/>
      <c r="N17" s="34"/>
      <c r="O17" s="34"/>
      <c r="P17" s="34"/>
      <c r="Q17" s="34"/>
      <c r="R17" s="34"/>
      <c r="S17" s="34"/>
      <c r="T17" s="34"/>
      <c r="U17" s="34"/>
      <c r="V17" s="34"/>
      <c r="AB17" s="46"/>
      <c r="AC17" s="47"/>
      <c r="AD17" s="47"/>
      <c r="AE17" s="47"/>
      <c r="AF17" s="47"/>
      <c r="AG17" s="47"/>
      <c r="AH17" s="47"/>
      <c r="AI17" s="47"/>
      <c r="AJ17" s="47"/>
      <c r="AK17" s="47"/>
      <c r="AL17" s="47"/>
      <c r="AM17" s="47"/>
      <c r="AN17" s="47"/>
      <c r="AO17" s="47"/>
      <c r="AP17" s="47"/>
      <c r="AQ17" s="47"/>
      <c r="AR17" s="47"/>
      <c r="AS17" s="48"/>
    </row>
    <row r="18" spans="5:74" ht="28.35" customHeight="1" x14ac:dyDescent="0.25">
      <c r="E18" s="34"/>
      <c r="F18" s="34"/>
      <c r="G18" s="34"/>
      <c r="H18" s="34"/>
      <c r="I18" s="34"/>
      <c r="J18" s="34"/>
      <c r="K18" s="34"/>
      <c r="L18" s="34"/>
      <c r="M18" s="34"/>
      <c r="N18" s="34"/>
      <c r="O18" s="34"/>
      <c r="P18" s="34"/>
      <c r="Q18" s="34"/>
      <c r="R18" s="34"/>
      <c r="S18" s="34"/>
      <c r="T18" s="34"/>
      <c r="U18" s="34"/>
      <c r="V18" s="34"/>
      <c r="AB18" s="46"/>
      <c r="AC18" s="47"/>
      <c r="AD18" s="47"/>
      <c r="AE18" s="47"/>
      <c r="AF18" s="47"/>
      <c r="AG18" s="47"/>
      <c r="AH18" s="47"/>
      <c r="AI18" s="47"/>
      <c r="AJ18" s="47"/>
      <c r="AK18" s="47"/>
      <c r="AL18" s="47"/>
      <c r="AM18" s="47"/>
      <c r="AN18" s="47"/>
      <c r="AO18" s="47"/>
      <c r="AP18" s="47"/>
      <c r="AQ18" s="47"/>
      <c r="AR18" s="47"/>
      <c r="AS18" s="48"/>
    </row>
    <row r="19" spans="5:74" ht="28.35" customHeight="1" x14ac:dyDescent="0.25">
      <c r="E19" s="34"/>
      <c r="F19" s="34"/>
      <c r="G19" s="34"/>
      <c r="H19" s="34"/>
      <c r="I19" s="34"/>
      <c r="J19" s="34"/>
      <c r="K19" s="34"/>
      <c r="L19" s="34"/>
      <c r="M19" s="34"/>
      <c r="N19" s="34"/>
      <c r="O19" s="34"/>
      <c r="P19" s="34"/>
      <c r="Q19" s="34"/>
      <c r="R19" s="34"/>
      <c r="S19" s="34"/>
      <c r="T19" s="34"/>
      <c r="U19" s="34"/>
      <c r="V19" s="34"/>
      <c r="AB19" s="46"/>
      <c r="AC19" s="47"/>
      <c r="AD19" s="47"/>
      <c r="AE19" s="47"/>
      <c r="AF19" s="47"/>
      <c r="AG19" s="47"/>
      <c r="AH19" s="47"/>
      <c r="AI19" s="47"/>
      <c r="AJ19" s="47"/>
      <c r="AK19" s="47"/>
      <c r="AL19" s="47"/>
      <c r="AM19" s="47"/>
      <c r="AN19" s="47"/>
      <c r="AO19" s="47"/>
      <c r="AP19" s="47"/>
      <c r="AQ19" s="47"/>
      <c r="AR19" s="47"/>
      <c r="AS19" s="48"/>
    </row>
    <row r="20" spans="5:74" ht="28.35" customHeight="1" x14ac:dyDescent="0.25">
      <c r="E20" s="34"/>
      <c r="F20" s="34"/>
      <c r="G20" s="34"/>
      <c r="H20" s="34"/>
      <c r="I20" s="34"/>
      <c r="J20" s="34"/>
      <c r="K20" s="34"/>
      <c r="L20" s="34"/>
      <c r="M20" s="34"/>
      <c r="N20" s="34"/>
      <c r="O20" s="34"/>
      <c r="P20" s="34"/>
      <c r="Q20" s="34"/>
      <c r="R20" s="34"/>
      <c r="S20" s="34"/>
      <c r="T20" s="34"/>
      <c r="U20" s="34"/>
      <c r="V20" s="34"/>
      <c r="AB20" s="49"/>
      <c r="AC20" s="50"/>
      <c r="AD20" s="50"/>
      <c r="AE20" s="50"/>
      <c r="AF20" s="50"/>
      <c r="AG20" s="50"/>
      <c r="AH20" s="50"/>
      <c r="AI20" s="50"/>
      <c r="AJ20" s="50"/>
      <c r="AK20" s="50"/>
      <c r="AL20" s="50"/>
      <c r="AM20" s="50"/>
      <c r="AN20" s="50"/>
      <c r="AO20" s="50"/>
      <c r="AP20" s="50"/>
      <c r="AQ20" s="50"/>
      <c r="AR20" s="50"/>
      <c r="AS20" s="51"/>
    </row>
    <row r="21" spans="5:74" ht="28.35" customHeight="1" x14ac:dyDescent="0.25">
      <c r="E21" s="34"/>
      <c r="F21" s="34"/>
      <c r="G21" s="34"/>
      <c r="H21" s="34"/>
      <c r="I21" s="34"/>
      <c r="J21" s="34"/>
      <c r="K21" s="34"/>
      <c r="L21" s="34"/>
      <c r="M21" s="34"/>
      <c r="N21" s="34"/>
      <c r="O21" s="34"/>
      <c r="P21" s="34"/>
      <c r="Q21" s="34"/>
      <c r="R21" s="34"/>
      <c r="S21" s="34"/>
      <c r="T21" s="34"/>
      <c r="U21" s="34"/>
      <c r="V21" s="34"/>
    </row>
    <row r="22" spans="5:74" ht="28.35" customHeight="1" x14ac:dyDescent="0.25">
      <c r="E22" s="19"/>
      <c r="F22" s="19"/>
      <c r="G22" s="19"/>
      <c r="H22" s="19"/>
      <c r="I22" s="19"/>
      <c r="J22" s="19"/>
      <c r="K22" s="19"/>
      <c r="L22" s="19"/>
      <c r="M22" s="19"/>
      <c r="N22" s="19"/>
      <c r="O22" s="19"/>
      <c r="P22" s="19"/>
      <c r="Q22" s="19"/>
      <c r="R22" s="19"/>
      <c r="S22" s="19"/>
      <c r="T22" s="19"/>
      <c r="U22" s="19"/>
      <c r="V22" s="19"/>
    </row>
    <row r="23" spans="5:74" ht="28.35" customHeight="1" x14ac:dyDescent="0.25">
      <c r="E23" s="19"/>
      <c r="F23" s="19"/>
      <c r="G23" s="19"/>
      <c r="H23" s="19"/>
      <c r="I23" s="19"/>
      <c r="J23" s="19"/>
      <c r="K23" s="19"/>
      <c r="L23" s="19"/>
      <c r="M23" s="19"/>
      <c r="N23" s="19"/>
      <c r="O23" s="19"/>
      <c r="P23" s="19"/>
      <c r="Q23" s="19"/>
      <c r="R23" s="19"/>
      <c r="S23" s="19"/>
      <c r="T23" s="19"/>
      <c r="U23" s="19"/>
      <c r="V23" s="19"/>
    </row>
    <row r="24" spans="5:74" ht="28.35" customHeight="1" x14ac:dyDescent="0.25">
      <c r="E24" s="19"/>
      <c r="F24" s="19"/>
      <c r="G24" s="19"/>
      <c r="H24" s="19"/>
      <c r="I24" s="19"/>
      <c r="J24" s="19"/>
      <c r="K24" s="19"/>
      <c r="L24" s="19"/>
      <c r="M24" s="19"/>
      <c r="N24" s="19"/>
      <c r="O24" s="19"/>
      <c r="P24" s="19"/>
      <c r="Q24" s="19"/>
      <c r="R24" s="19"/>
      <c r="S24" s="19"/>
      <c r="T24" s="19"/>
      <c r="U24" s="19"/>
      <c r="V24" s="19"/>
    </row>
    <row r="25" spans="5:74" ht="28.35" customHeight="1" x14ac:dyDescent="0.25">
      <c r="E25" s="19"/>
      <c r="F25" s="19"/>
      <c r="G25" s="19"/>
      <c r="H25" s="19"/>
      <c r="I25" s="19"/>
      <c r="J25" s="19"/>
      <c r="K25" s="19"/>
      <c r="L25" s="19"/>
      <c r="M25" s="19"/>
      <c r="N25" s="19"/>
      <c r="O25" s="19"/>
      <c r="P25" s="19"/>
      <c r="Q25" s="19"/>
      <c r="R25" s="19"/>
      <c r="S25" s="19"/>
      <c r="T25" s="19"/>
      <c r="U25" s="19"/>
      <c r="V25" s="19"/>
    </row>
    <row r="26" spans="5:74" ht="28.35" customHeight="1" x14ac:dyDescent="0.25">
      <c r="E26" s="3"/>
      <c r="F26" s="3"/>
      <c r="G26" s="3"/>
      <c r="H26" s="3"/>
      <c r="I26" s="3"/>
      <c r="J26" s="3"/>
      <c r="K26" s="3"/>
      <c r="L26" s="3"/>
      <c r="M26" s="3"/>
      <c r="N26" s="3"/>
      <c r="O26" s="3"/>
      <c r="P26" s="3"/>
      <c r="Q26" s="3"/>
      <c r="R26" s="3"/>
      <c r="S26" s="3"/>
      <c r="T26" s="3"/>
    </row>
    <row r="27" spans="5:74" ht="28.35" customHeight="1" x14ac:dyDescent="0.25">
      <c r="AN27" s="4"/>
      <c r="AO27" s="4"/>
      <c r="AP27" s="4"/>
      <c r="AQ27" s="4"/>
      <c r="AR27" s="4"/>
      <c r="AS27" s="4"/>
    </row>
    <row r="28" spans="5:74" ht="28.35" customHeight="1" x14ac:dyDescent="0.25"/>
    <row r="29" spans="5:74" ht="28.35" customHeight="1" x14ac:dyDescent="0.25">
      <c r="M29" s="20" t="s">
        <v>173</v>
      </c>
      <c r="AJ29" s="20" t="s">
        <v>175</v>
      </c>
    </row>
    <row r="30" spans="5:74" ht="28.35" customHeight="1" x14ac:dyDescent="0.25"/>
    <row r="31" spans="5:74" ht="28.35" customHeight="1" x14ac:dyDescent="0.25"/>
    <row r="32" spans="5:74" s="5" customFormat="1" ht="28.35" customHeight="1" x14ac:dyDescent="0.25">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row>
    <row r="33" spans="4:64" ht="28.35" customHeight="1" x14ac:dyDescent="0.25"/>
    <row r="34" spans="4:64" ht="28.35" customHeight="1" x14ac:dyDescent="0.25"/>
    <row r="35" spans="4:64" ht="28.35" customHeight="1" x14ac:dyDescent="0.25"/>
    <row r="36" spans="4:64" ht="28.35" customHeight="1" x14ac:dyDescent="0.25"/>
    <row r="37" spans="4:64" ht="28.35" customHeight="1" x14ac:dyDescent="0.25"/>
    <row r="38" spans="4:64" ht="28.35" customHeight="1" x14ac:dyDescent="0.25">
      <c r="D38" s="39" t="s">
        <v>59</v>
      </c>
      <c r="E38" s="39"/>
      <c r="F38" s="39"/>
      <c r="G38" s="39"/>
      <c r="H38" s="39"/>
      <c r="I38" s="39"/>
      <c r="J38" s="39"/>
      <c r="K38" s="39"/>
      <c r="L38" s="39"/>
    </row>
    <row r="39" spans="4:64" ht="28.35" customHeight="1" x14ac:dyDescent="0.25"/>
    <row r="40" spans="4:64" ht="28.35" customHeight="1" x14ac:dyDescent="0.25">
      <c r="D40" s="33" t="s">
        <v>41</v>
      </c>
      <c r="E40" s="33"/>
      <c r="F40" s="6"/>
      <c r="G40" s="36" t="s">
        <v>1</v>
      </c>
      <c r="H40" s="36"/>
      <c r="I40" s="36"/>
      <c r="J40" s="33" t="s">
        <v>42</v>
      </c>
      <c r="K40" s="33"/>
      <c r="L40" s="6"/>
      <c r="M40" s="36" t="s">
        <v>1</v>
      </c>
      <c r="N40" s="36"/>
      <c r="O40" s="36"/>
      <c r="P40" s="33" t="s">
        <v>43</v>
      </c>
      <c r="Q40" s="33"/>
      <c r="R40" s="6"/>
      <c r="S40" s="36" t="s">
        <v>1</v>
      </c>
      <c r="T40" s="36"/>
      <c r="U40" s="36"/>
      <c r="BA40" s="14" t="s">
        <v>2</v>
      </c>
      <c r="BB40" s="14" t="s">
        <v>1</v>
      </c>
      <c r="BC40" s="14" t="s">
        <v>44</v>
      </c>
      <c r="BD40" s="14" t="s">
        <v>48</v>
      </c>
    </row>
    <row r="41" spans="4:64" ht="28.35" customHeight="1" x14ac:dyDescent="0.25">
      <c r="D41" s="40" t="s">
        <v>0</v>
      </c>
      <c r="E41" s="40"/>
      <c r="F41" s="6"/>
      <c r="G41" s="41"/>
      <c r="H41" s="41"/>
      <c r="I41" s="41"/>
      <c r="J41" s="40" t="s">
        <v>0</v>
      </c>
      <c r="K41" s="40"/>
      <c r="L41" s="6"/>
      <c r="M41" s="41"/>
      <c r="N41" s="41"/>
      <c r="O41" s="41"/>
      <c r="P41" s="40" t="s">
        <v>0</v>
      </c>
      <c r="Q41" s="40"/>
      <c r="R41" s="6"/>
      <c r="S41" s="41"/>
      <c r="T41" s="41"/>
      <c r="U41" s="41"/>
      <c r="BA41" s="14" t="s">
        <v>4</v>
      </c>
      <c r="BB41" s="14">
        <f>SUM(G42:I55,M42:O55,S42:U54)</f>
        <v>0</v>
      </c>
      <c r="BC41" s="14">
        <f>COUNTIF(G42:G55,"")+COUNTIFS(G42:G55,"-")+COUNTIFS(M42:M55,"")+COUNTIFS(M42:M55,"-")+COUNTIFS(S42:S54,"")+COUNTIFS(S42:S54,"-")</f>
        <v>41</v>
      </c>
    </row>
    <row r="42" spans="4:64" ht="28.35" customHeight="1" x14ac:dyDescent="0.25">
      <c r="D42" s="33">
        <v>1</v>
      </c>
      <c r="E42" s="33"/>
      <c r="F42" s="6"/>
      <c r="G42" s="35"/>
      <c r="H42" s="35"/>
      <c r="I42" s="35"/>
      <c r="J42" s="33">
        <v>15</v>
      </c>
      <c r="K42" s="33"/>
      <c r="L42" s="6"/>
      <c r="M42" s="35"/>
      <c r="N42" s="35"/>
      <c r="O42" s="35"/>
      <c r="P42" s="33">
        <v>29</v>
      </c>
      <c r="Q42" s="33"/>
      <c r="R42" s="6"/>
      <c r="S42" s="35"/>
      <c r="T42" s="35"/>
      <c r="U42" s="35"/>
      <c r="BA42" s="14" t="s">
        <v>5</v>
      </c>
      <c r="BB42" s="14">
        <f t="shared" ref="BB42:BB47" si="0">SUM(BD42:BL42)</f>
        <v>0</v>
      </c>
      <c r="BC42" s="14">
        <f>COUNTIF(BD42:BL42,0)+COUNTIF(BD42:BL42,"-")</f>
        <v>4</v>
      </c>
      <c r="BD42" s="14">
        <f>G42</f>
        <v>0</v>
      </c>
      <c r="BE42" s="14">
        <f>G51</f>
        <v>0</v>
      </c>
      <c r="BF42" s="14">
        <f>M46</f>
        <v>0</v>
      </c>
      <c r="BG42" s="14">
        <f>M55</f>
        <v>0</v>
      </c>
    </row>
    <row r="43" spans="4:64" ht="28.35" customHeight="1" x14ac:dyDescent="0.25">
      <c r="D43" s="33">
        <v>2</v>
      </c>
      <c r="E43" s="33"/>
      <c r="F43" s="6"/>
      <c r="G43" s="35"/>
      <c r="H43" s="35"/>
      <c r="I43" s="35"/>
      <c r="J43" s="33">
        <v>16</v>
      </c>
      <c r="K43" s="33"/>
      <c r="L43" s="6"/>
      <c r="M43" s="35"/>
      <c r="N43" s="35"/>
      <c r="O43" s="35"/>
      <c r="P43" s="33">
        <v>30</v>
      </c>
      <c r="Q43" s="33"/>
      <c r="R43" s="6"/>
      <c r="S43" s="35"/>
      <c r="T43" s="35"/>
      <c r="U43" s="35"/>
      <c r="BA43" s="14" t="s">
        <v>6</v>
      </c>
      <c r="BB43" s="14">
        <f t="shared" si="0"/>
        <v>0</v>
      </c>
      <c r="BC43" s="14">
        <f t="shared" ref="BC43:BC49" si="1">COUNTIF(BD43:BL43,0)+COUNTIF(BD43:BL43,"-")</f>
        <v>5</v>
      </c>
      <c r="BD43" s="14">
        <f>G48</f>
        <v>0</v>
      </c>
      <c r="BE43" s="14">
        <f>M43</f>
        <v>0</v>
      </c>
      <c r="BF43" s="14">
        <f>M52</f>
        <v>0</v>
      </c>
      <c r="BG43" s="14">
        <f>S47</f>
        <v>0</v>
      </c>
      <c r="BH43" s="14">
        <f>S54</f>
        <v>0</v>
      </c>
    </row>
    <row r="44" spans="4:64" ht="28.35" customHeight="1" x14ac:dyDescent="0.25">
      <c r="D44" s="33">
        <v>3</v>
      </c>
      <c r="E44" s="33"/>
      <c r="F44" s="6"/>
      <c r="G44" s="35"/>
      <c r="H44" s="35"/>
      <c r="I44" s="35"/>
      <c r="J44" s="33">
        <v>17</v>
      </c>
      <c r="K44" s="33"/>
      <c r="L44" s="6"/>
      <c r="M44" s="35"/>
      <c r="N44" s="35"/>
      <c r="O44" s="35"/>
      <c r="P44" s="33">
        <v>31</v>
      </c>
      <c r="Q44" s="33"/>
      <c r="R44" s="6"/>
      <c r="S44" s="35"/>
      <c r="T44" s="35"/>
      <c r="U44" s="35"/>
      <c r="BA44" s="14" t="s">
        <v>7</v>
      </c>
      <c r="BB44" s="14">
        <f t="shared" si="0"/>
        <v>0</v>
      </c>
      <c r="BC44" s="14">
        <f t="shared" si="1"/>
        <v>5</v>
      </c>
      <c r="BD44" s="14">
        <f>G47</f>
        <v>0</v>
      </c>
      <c r="BE44" s="14">
        <f>M42</f>
        <v>0</v>
      </c>
      <c r="BF44" s="14">
        <f>M51</f>
        <v>0</v>
      </c>
      <c r="BG44" s="14">
        <f>S46</f>
        <v>0</v>
      </c>
      <c r="BH44" s="14">
        <f>S53</f>
        <v>0</v>
      </c>
    </row>
    <row r="45" spans="4:64" ht="28.35" customHeight="1" x14ac:dyDescent="0.25">
      <c r="D45" s="33">
        <v>4</v>
      </c>
      <c r="E45" s="33"/>
      <c r="F45" s="6"/>
      <c r="G45" s="35"/>
      <c r="H45" s="35"/>
      <c r="I45" s="35"/>
      <c r="J45" s="33">
        <v>18</v>
      </c>
      <c r="K45" s="33"/>
      <c r="L45" s="6"/>
      <c r="M45" s="35"/>
      <c r="N45" s="35"/>
      <c r="O45" s="35"/>
      <c r="P45" s="33">
        <v>32</v>
      </c>
      <c r="Q45" s="33"/>
      <c r="R45" s="6"/>
      <c r="S45" s="35"/>
      <c r="T45" s="35"/>
      <c r="U45" s="35"/>
      <c r="BA45" s="14" t="s">
        <v>8</v>
      </c>
      <c r="BB45" s="14">
        <f t="shared" si="0"/>
        <v>0</v>
      </c>
      <c r="BC45" s="14">
        <f t="shared" si="1"/>
        <v>5</v>
      </c>
      <c r="BD45" s="14">
        <f>G44</f>
        <v>0</v>
      </c>
      <c r="BE45" s="14">
        <f>G53</f>
        <v>0</v>
      </c>
      <c r="BF45" s="14">
        <f>M48</f>
        <v>0</v>
      </c>
      <c r="BG45" s="14">
        <f>S43</f>
        <v>0</v>
      </c>
      <c r="BH45" s="14">
        <f>S51</f>
        <v>0</v>
      </c>
    </row>
    <row r="46" spans="4:64" ht="28.35" customHeight="1" x14ac:dyDescent="0.25">
      <c r="D46" s="33">
        <v>5</v>
      </c>
      <c r="E46" s="33"/>
      <c r="F46" s="6"/>
      <c r="G46" s="35"/>
      <c r="H46" s="35"/>
      <c r="I46" s="35"/>
      <c r="J46" s="33">
        <v>19</v>
      </c>
      <c r="K46" s="33"/>
      <c r="L46" s="6"/>
      <c r="M46" s="35"/>
      <c r="N46" s="35"/>
      <c r="O46" s="35"/>
      <c r="P46" s="33">
        <v>33</v>
      </c>
      <c r="Q46" s="33"/>
      <c r="R46" s="6"/>
      <c r="S46" s="35"/>
      <c r="T46" s="35"/>
      <c r="U46" s="35"/>
      <c r="BA46" s="14" t="s">
        <v>10</v>
      </c>
      <c r="BB46" s="14">
        <f t="shared" si="0"/>
        <v>0</v>
      </c>
      <c r="BC46" s="14">
        <f t="shared" si="1"/>
        <v>5</v>
      </c>
      <c r="BD46" s="14">
        <f>G43</f>
        <v>0</v>
      </c>
      <c r="BE46" s="14">
        <f>G52</f>
        <v>0</v>
      </c>
      <c r="BF46" s="14">
        <f>M47</f>
        <v>0</v>
      </c>
      <c r="BG46" s="14">
        <f>S42</f>
        <v>0</v>
      </c>
      <c r="BH46" s="14">
        <f>S50</f>
        <v>0</v>
      </c>
    </row>
    <row r="47" spans="4:64" ht="28.35" customHeight="1" x14ac:dyDescent="0.25">
      <c r="D47" s="33">
        <v>6</v>
      </c>
      <c r="E47" s="33"/>
      <c r="F47" s="6"/>
      <c r="G47" s="35"/>
      <c r="H47" s="35"/>
      <c r="I47" s="35"/>
      <c r="J47" s="33">
        <v>20</v>
      </c>
      <c r="K47" s="33"/>
      <c r="L47" s="6"/>
      <c r="M47" s="35"/>
      <c r="N47" s="35"/>
      <c r="O47" s="35"/>
      <c r="P47" s="33">
        <v>34</v>
      </c>
      <c r="Q47" s="33"/>
      <c r="R47" s="6"/>
      <c r="S47" s="35"/>
      <c r="T47" s="35"/>
      <c r="U47" s="35"/>
      <c r="BA47" s="14" t="s">
        <v>9</v>
      </c>
      <c r="BB47" s="14">
        <f t="shared" si="0"/>
        <v>0</v>
      </c>
      <c r="BC47" s="14">
        <f t="shared" si="1"/>
        <v>4</v>
      </c>
      <c r="BD47" s="14">
        <f>G45</f>
        <v>0</v>
      </c>
      <c r="BE47" s="14">
        <f>G54</f>
        <v>0</v>
      </c>
      <c r="BF47" s="14">
        <f>M49</f>
        <v>0</v>
      </c>
      <c r="BG47" s="14">
        <f>S44</f>
        <v>0</v>
      </c>
    </row>
    <row r="48" spans="4:64" ht="28.35" customHeight="1" x14ac:dyDescent="0.25">
      <c r="D48" s="33">
        <v>7</v>
      </c>
      <c r="E48" s="33"/>
      <c r="F48" s="6"/>
      <c r="G48" s="35"/>
      <c r="H48" s="35"/>
      <c r="I48" s="35"/>
      <c r="J48" s="33">
        <v>21</v>
      </c>
      <c r="K48" s="33"/>
      <c r="L48" s="6"/>
      <c r="M48" s="35"/>
      <c r="N48" s="35"/>
      <c r="O48" s="35"/>
      <c r="P48" s="33">
        <v>35</v>
      </c>
      <c r="Q48" s="33"/>
      <c r="R48" s="6"/>
      <c r="S48" s="35"/>
      <c r="T48" s="35"/>
      <c r="U48" s="35"/>
      <c r="BA48" s="14" t="s">
        <v>11</v>
      </c>
      <c r="BB48" s="14">
        <f t="shared" ref="BB48:BB49" si="2">SUM(BD48:BL48)</f>
        <v>0</v>
      </c>
      <c r="BC48" s="14">
        <f t="shared" si="1"/>
        <v>9</v>
      </c>
      <c r="BD48" s="14">
        <f>G46</f>
        <v>0</v>
      </c>
      <c r="BE48" s="14">
        <f>G50</f>
        <v>0</v>
      </c>
      <c r="BF48" s="14">
        <f>G55</f>
        <v>0</v>
      </c>
      <c r="BG48" s="14">
        <f>M45</f>
        <v>0</v>
      </c>
      <c r="BH48" s="14">
        <f>M50</f>
        <v>0</v>
      </c>
      <c r="BI48" s="14">
        <f>M54</f>
        <v>0</v>
      </c>
      <c r="BJ48" s="14">
        <f>S45</f>
        <v>0</v>
      </c>
      <c r="BK48" s="14">
        <f>S49</f>
        <v>0</v>
      </c>
      <c r="BL48" s="14">
        <f>S52</f>
        <v>0</v>
      </c>
    </row>
    <row r="49" spans="4:59" ht="28.35" customHeight="1" x14ac:dyDescent="0.25">
      <c r="D49" s="33">
        <v>8</v>
      </c>
      <c r="E49" s="33"/>
      <c r="F49" s="6"/>
      <c r="G49" s="35"/>
      <c r="H49" s="35"/>
      <c r="I49" s="35"/>
      <c r="J49" s="33">
        <v>22</v>
      </c>
      <c r="K49" s="33"/>
      <c r="L49" s="6"/>
      <c r="M49" s="35"/>
      <c r="N49" s="35"/>
      <c r="O49" s="35"/>
      <c r="P49" s="33">
        <v>36</v>
      </c>
      <c r="Q49" s="33"/>
      <c r="R49" s="6"/>
      <c r="S49" s="35"/>
      <c r="T49" s="35"/>
      <c r="U49" s="35"/>
      <c r="BA49" s="14" t="s">
        <v>12</v>
      </c>
      <c r="BB49" s="14">
        <f t="shared" si="2"/>
        <v>0</v>
      </c>
      <c r="BC49" s="14">
        <f t="shared" si="1"/>
        <v>4</v>
      </c>
      <c r="BD49" s="14">
        <f>G49</f>
        <v>0</v>
      </c>
      <c r="BE49" s="14">
        <f>M44</f>
        <v>0</v>
      </c>
      <c r="BF49" s="14">
        <f>M53</f>
        <v>0</v>
      </c>
      <c r="BG49" s="14">
        <f>S48</f>
        <v>0</v>
      </c>
    </row>
    <row r="50" spans="4:59" ht="28.35" customHeight="1" x14ac:dyDescent="0.25">
      <c r="D50" s="33">
        <v>9</v>
      </c>
      <c r="E50" s="33"/>
      <c r="F50" s="6"/>
      <c r="G50" s="35"/>
      <c r="H50" s="35"/>
      <c r="I50" s="35"/>
      <c r="J50" s="33">
        <v>23</v>
      </c>
      <c r="K50" s="33"/>
      <c r="L50" s="6"/>
      <c r="M50" s="35"/>
      <c r="N50" s="35"/>
      <c r="O50" s="35"/>
      <c r="P50" s="33">
        <v>37</v>
      </c>
      <c r="Q50" s="33"/>
      <c r="R50" s="6"/>
      <c r="S50" s="35"/>
      <c r="T50" s="35"/>
      <c r="U50" s="35"/>
    </row>
    <row r="51" spans="4:59" ht="28.35" customHeight="1" x14ac:dyDescent="0.25">
      <c r="D51" s="33">
        <v>10</v>
      </c>
      <c r="E51" s="33"/>
      <c r="F51" s="6"/>
      <c r="G51" s="35"/>
      <c r="H51" s="35"/>
      <c r="I51" s="35"/>
      <c r="J51" s="33">
        <v>24</v>
      </c>
      <c r="K51" s="33"/>
      <c r="L51" s="6"/>
      <c r="M51" s="35"/>
      <c r="N51" s="35"/>
      <c r="O51" s="35"/>
      <c r="P51" s="33">
        <v>38</v>
      </c>
      <c r="Q51" s="33"/>
      <c r="R51" s="6"/>
      <c r="S51" s="35"/>
      <c r="T51" s="35"/>
      <c r="U51" s="35"/>
    </row>
    <row r="52" spans="4:59" ht="28.35" customHeight="1" x14ac:dyDescent="0.25">
      <c r="D52" s="33">
        <v>11</v>
      </c>
      <c r="E52" s="33"/>
      <c r="F52" s="6"/>
      <c r="G52" s="35"/>
      <c r="H52" s="35"/>
      <c r="I52" s="35"/>
      <c r="J52" s="33">
        <v>25</v>
      </c>
      <c r="K52" s="33"/>
      <c r="L52" s="6"/>
      <c r="M52" s="35"/>
      <c r="N52" s="35"/>
      <c r="O52" s="35"/>
      <c r="P52" s="33">
        <v>39</v>
      </c>
      <c r="Q52" s="33"/>
      <c r="R52" s="6"/>
      <c r="S52" s="35"/>
      <c r="T52" s="35"/>
      <c r="U52" s="35"/>
    </row>
    <row r="53" spans="4:59" ht="28.35" customHeight="1" x14ac:dyDescent="0.25">
      <c r="D53" s="33">
        <v>12</v>
      </c>
      <c r="E53" s="33"/>
      <c r="F53" s="6"/>
      <c r="G53" s="35"/>
      <c r="H53" s="35"/>
      <c r="I53" s="35"/>
      <c r="J53" s="33">
        <v>26</v>
      </c>
      <c r="K53" s="33"/>
      <c r="L53" s="6"/>
      <c r="M53" s="35"/>
      <c r="N53" s="35"/>
      <c r="O53" s="35"/>
      <c r="P53" s="33">
        <v>40</v>
      </c>
      <c r="Q53" s="33"/>
      <c r="R53" s="6"/>
      <c r="S53" s="35"/>
      <c r="T53" s="35"/>
      <c r="U53" s="35"/>
    </row>
    <row r="54" spans="4:59" ht="28.35" customHeight="1" x14ac:dyDescent="0.25">
      <c r="D54" s="33">
        <v>13</v>
      </c>
      <c r="E54" s="33"/>
      <c r="F54" s="6"/>
      <c r="G54" s="35"/>
      <c r="H54" s="35"/>
      <c r="I54" s="35"/>
      <c r="J54" s="33">
        <v>27</v>
      </c>
      <c r="K54" s="33"/>
      <c r="L54" s="6"/>
      <c r="M54" s="35"/>
      <c r="N54" s="35"/>
      <c r="O54" s="35"/>
      <c r="P54" s="33">
        <v>41</v>
      </c>
      <c r="Q54" s="33"/>
      <c r="R54" s="6"/>
      <c r="S54" s="35"/>
      <c r="T54" s="35"/>
      <c r="U54" s="35"/>
    </row>
    <row r="55" spans="4:59" ht="28.35" customHeight="1" x14ac:dyDescent="0.25">
      <c r="D55" s="33">
        <v>14</v>
      </c>
      <c r="E55" s="33"/>
      <c r="F55" s="6"/>
      <c r="G55" s="35"/>
      <c r="H55" s="35"/>
      <c r="I55" s="35"/>
      <c r="J55" s="33">
        <v>28</v>
      </c>
      <c r="K55" s="33"/>
      <c r="L55" s="6"/>
      <c r="M55" s="35"/>
      <c r="N55" s="35"/>
      <c r="O55" s="35"/>
      <c r="P55" s="42"/>
      <c r="Q55" s="42"/>
      <c r="R55" s="6"/>
      <c r="S55" s="55"/>
      <c r="T55" s="55"/>
      <c r="U55" s="55"/>
    </row>
    <row r="56" spans="4:59" ht="28.35" customHeight="1" x14ac:dyDescent="0.25"/>
    <row r="57" spans="4:59" ht="28.35" customHeight="1" x14ac:dyDescent="0.25"/>
    <row r="58" spans="4:59" ht="28.35" customHeight="1" x14ac:dyDescent="0.25"/>
    <row r="59" spans="4:59" ht="28.35" customHeight="1" x14ac:dyDescent="0.25"/>
    <row r="60" spans="4:59" ht="28.35" customHeight="1" x14ac:dyDescent="0.25">
      <c r="M60" s="20" t="s">
        <v>174</v>
      </c>
    </row>
    <row r="61" spans="4:59" ht="28.35" customHeight="1" x14ac:dyDescent="0.25"/>
    <row r="62" spans="4:59" ht="28.35" customHeight="1" x14ac:dyDescent="0.25"/>
  </sheetData>
  <sheetProtection algorithmName="SHA-512" hashValue="leiLLmNExz6rN7Nerxkt1Tm5zFu4lVSK+oZIQr9NQq/7rx2ihAmZrSTeQrXwiYwXLiMl1H4BFOWIjppg7OJadQ==" saltValue="L+g6FfacH/zPJOoUSfmOWA==" spinCount="100000" sheet="1" objects="1" scenarios="1" selectLockedCells="1"/>
  <mergeCells count="110">
    <mergeCell ref="S55:U55"/>
    <mergeCell ref="S45:U45"/>
    <mergeCell ref="S46:U46"/>
    <mergeCell ref="S47:U47"/>
    <mergeCell ref="S48:U48"/>
    <mergeCell ref="S49:U49"/>
    <mergeCell ref="M55:O55"/>
    <mergeCell ref="M43:O43"/>
    <mergeCell ref="M44:O44"/>
    <mergeCell ref="M46:O46"/>
    <mergeCell ref="M50:O50"/>
    <mergeCell ref="M51:O51"/>
    <mergeCell ref="M54:O54"/>
    <mergeCell ref="S50:U50"/>
    <mergeCell ref="S51:U51"/>
    <mergeCell ref="S52:U52"/>
    <mergeCell ref="S53:U53"/>
    <mergeCell ref="S54:U54"/>
    <mergeCell ref="P44:Q44"/>
    <mergeCell ref="M52:O52"/>
    <mergeCell ref="M53:O53"/>
    <mergeCell ref="P53:Q53"/>
    <mergeCell ref="P52:Q52"/>
    <mergeCell ref="P51:Q51"/>
    <mergeCell ref="P50:Q50"/>
    <mergeCell ref="P49:Q49"/>
    <mergeCell ref="AB7:AJ7"/>
    <mergeCell ref="J54:K54"/>
    <mergeCell ref="J55:K55"/>
    <mergeCell ref="M41:O41"/>
    <mergeCell ref="P40:Q40"/>
    <mergeCell ref="E13:L13"/>
    <mergeCell ref="M13:R13"/>
    <mergeCell ref="AB10:AS20"/>
    <mergeCell ref="D54:E54"/>
    <mergeCell ref="D55:E55"/>
    <mergeCell ref="D40:E40"/>
    <mergeCell ref="D52:E52"/>
    <mergeCell ref="E7:L7"/>
    <mergeCell ref="M7:R7"/>
    <mergeCell ref="E9:L9"/>
    <mergeCell ref="E11:L11"/>
    <mergeCell ref="M11:R11"/>
    <mergeCell ref="G55:I55"/>
    <mergeCell ref="G54:I54"/>
    <mergeCell ref="J40:K40"/>
    <mergeCell ref="P54:Q54"/>
    <mergeCell ref="G53:I53"/>
    <mergeCell ref="P55:Q55"/>
    <mergeCell ref="S41:U41"/>
    <mergeCell ref="D53:E53"/>
    <mergeCell ref="D51:E51"/>
    <mergeCell ref="J42:K42"/>
    <mergeCell ref="J43:K43"/>
    <mergeCell ref="J44:K44"/>
    <mergeCell ref="J45:K45"/>
    <mergeCell ref="J46:K46"/>
    <mergeCell ref="J47:K47"/>
    <mergeCell ref="J48:K48"/>
    <mergeCell ref="G48:I48"/>
    <mergeCell ref="G49:I49"/>
    <mergeCell ref="D50:E50"/>
    <mergeCell ref="G42:I42"/>
    <mergeCell ref="G47:I47"/>
    <mergeCell ref="G50:I50"/>
    <mergeCell ref="G51:I51"/>
    <mergeCell ref="G52:I52"/>
    <mergeCell ref="J50:K50"/>
    <mergeCell ref="J51:K51"/>
    <mergeCell ref="J52:K52"/>
    <mergeCell ref="J53:K53"/>
    <mergeCell ref="P41:Q41"/>
    <mergeCell ref="E12:L12"/>
    <mergeCell ref="M12:R12"/>
    <mergeCell ref="D49:E49"/>
    <mergeCell ref="P43:Q43"/>
    <mergeCell ref="E15:L15"/>
    <mergeCell ref="D47:E47"/>
    <mergeCell ref="D48:E48"/>
    <mergeCell ref="D43:E43"/>
    <mergeCell ref="D44:E44"/>
    <mergeCell ref="D45:E45"/>
    <mergeCell ref="D46:E46"/>
    <mergeCell ref="G43:I43"/>
    <mergeCell ref="G44:I44"/>
    <mergeCell ref="G45:I45"/>
    <mergeCell ref="G46:I46"/>
    <mergeCell ref="D41:E41"/>
    <mergeCell ref="D42:E42"/>
    <mergeCell ref="M40:O40"/>
    <mergeCell ref="G40:I40"/>
    <mergeCell ref="J41:K41"/>
    <mergeCell ref="G41:I41"/>
    <mergeCell ref="P42:Q42"/>
    <mergeCell ref="M42:O42"/>
    <mergeCell ref="D38:L38"/>
    <mergeCell ref="P46:Q46"/>
    <mergeCell ref="E17:V21"/>
    <mergeCell ref="P45:Q45"/>
    <mergeCell ref="M45:O45"/>
    <mergeCell ref="J49:K49"/>
    <mergeCell ref="M49:O49"/>
    <mergeCell ref="P48:Q48"/>
    <mergeCell ref="P47:Q47"/>
    <mergeCell ref="M47:O47"/>
    <mergeCell ref="M48:O48"/>
    <mergeCell ref="S40:U40"/>
    <mergeCell ref="S42:U42"/>
    <mergeCell ref="S43:U43"/>
    <mergeCell ref="S44:U44"/>
  </mergeCells>
  <dataValidations count="6">
    <dataValidation allowBlank="1" showInputMessage="1" showErrorMessage="1" sqref="M40:M41"/>
    <dataValidation type="list" allowBlank="1" showInputMessage="1" showErrorMessage="1" errorTitle="Rohwert" error="Bitte geben Sie einen gültigen Rohwert ein." sqref="S42:U54">
      <formula1>$BC$10:$BC$15</formula1>
    </dataValidation>
    <dataValidation type="date" operator="greaterThan" allowBlank="1" showInputMessage="1" showErrorMessage="1" errorTitle="Datum" error="Bitte geben Sie ein gültiges Datum ein." sqref="M7:R7">
      <formula1>44042</formula1>
    </dataValidation>
    <dataValidation type="list" showInputMessage="1" showErrorMessage="1" errorTitle="Geschlecht" error="Bitte wählen Sie ein gültiges Geschlecht." sqref="M13:R13">
      <formula1>$BA$10:$BA$13</formula1>
    </dataValidation>
    <dataValidation type="list" allowBlank="1" showInputMessage="1" showErrorMessage="1" errorTitle="Rohwert" error="Bitte geben Sie einen gültigen Rohwert ein." sqref="G42:I42 M42:O55">
      <formula1>$BC$10:$BC$15</formula1>
    </dataValidation>
    <dataValidation type="list" allowBlank="1" showInputMessage="1" showErrorMessage="1" errorTitle="Rohwert" error="Bitte geben Sie einen gültigen Rohwert ein." sqref="G43:I55">
      <formula1>$BC$10:$BC$15</formula1>
    </dataValidation>
  </dataValidations>
  <printOptions horizontalCentered="1" verticalCentered="1"/>
  <pageMargins left="0" right="0" top="0" bottom="0" header="0" footer="0"/>
  <pageSetup paperSize="9" scale="90" orientation="portrait" r:id="rId1"/>
  <rowBreaks count="1" manualBreakCount="1">
    <brk id="31" min="1" max="46" man="1"/>
  </rowBreaks>
  <colBreaks count="1" manualBreakCount="1">
    <brk id="24" max="6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62"/>
  <sheetViews>
    <sheetView showGridLines="0" showRowColHeaders="0" zoomScaleNormal="100" workbookViewId="0">
      <selection activeCell="S42" sqref="S42:U54"/>
    </sheetView>
  </sheetViews>
  <sheetFormatPr baseColWidth="10" defaultColWidth="11.42578125" defaultRowHeight="15.75" x14ac:dyDescent="0.25"/>
  <cols>
    <col min="1" max="1" width="4.85546875" style="5" customWidth="1"/>
    <col min="2" max="47" width="4.85546875" style="1" customWidth="1"/>
    <col min="53" max="74" width="11.42578125" hidden="1" customWidth="1"/>
    <col min="75" max="78" width="11.42578125" style="1" hidden="1" customWidth="1"/>
    <col min="79" max="16384" width="11.42578125" style="1"/>
  </cols>
  <sheetData>
    <row r="1" spans="5:74" s="5" customFormat="1" ht="28.35" customHeight="1" x14ac:dyDescent="0.25">
      <c r="AV1"/>
      <c r="AW1"/>
      <c r="AX1"/>
      <c r="AY1"/>
      <c r="AZ1"/>
      <c r="BA1"/>
      <c r="BB1"/>
      <c r="BC1"/>
      <c r="BD1"/>
      <c r="BE1"/>
      <c r="BF1"/>
      <c r="BG1"/>
      <c r="BH1"/>
      <c r="BI1"/>
      <c r="BJ1"/>
      <c r="BK1"/>
      <c r="BL1"/>
      <c r="BM1"/>
      <c r="BN1"/>
      <c r="BO1"/>
      <c r="BP1"/>
      <c r="BQ1"/>
      <c r="BR1"/>
      <c r="BS1"/>
      <c r="BT1"/>
      <c r="BU1"/>
      <c r="BV1"/>
    </row>
    <row r="2" spans="5:74" ht="28.35" customHeight="1" x14ac:dyDescent="0.25"/>
    <row r="3" spans="5:74" ht="28.35" customHeight="1" x14ac:dyDescent="0.25"/>
    <row r="4" spans="5:74" ht="28.35" customHeight="1" x14ac:dyDescent="0.25"/>
    <row r="5" spans="5:74" ht="28.35" customHeight="1" x14ac:dyDescent="0.25"/>
    <row r="6" spans="5:74" ht="28.35" customHeight="1" x14ac:dyDescent="0.25"/>
    <row r="7" spans="5:74" ht="28.35" customHeight="1" x14ac:dyDescent="0.25">
      <c r="E7" s="37" t="s">
        <v>18</v>
      </c>
      <c r="F7" s="37"/>
      <c r="G7" s="37"/>
      <c r="H7" s="37"/>
      <c r="I7" s="37"/>
      <c r="J7" s="37"/>
      <c r="K7" s="37"/>
      <c r="L7" s="37"/>
      <c r="M7" s="52">
        <v>44130</v>
      </c>
      <c r="N7" s="52"/>
      <c r="O7" s="52"/>
      <c r="P7" s="52"/>
      <c r="Q7" s="52"/>
      <c r="R7" s="52"/>
      <c r="AB7" s="39" t="s">
        <v>40</v>
      </c>
      <c r="AC7" s="39"/>
      <c r="AD7" s="39"/>
      <c r="AE7" s="39"/>
      <c r="AF7" s="39"/>
      <c r="AG7" s="39"/>
      <c r="AH7" s="39"/>
      <c r="AI7" s="39"/>
      <c r="AJ7" s="39"/>
      <c r="BA7" t="s">
        <v>35</v>
      </c>
    </row>
    <row r="8" spans="5:74" ht="28.35" customHeight="1" x14ac:dyDescent="0.25">
      <c r="AB8" s="16" t="s">
        <v>165</v>
      </c>
    </row>
    <row r="9" spans="5:74" ht="28.35" customHeight="1" x14ac:dyDescent="0.25">
      <c r="E9" s="39" t="s">
        <v>19</v>
      </c>
      <c r="F9" s="39"/>
      <c r="G9" s="39"/>
      <c r="H9" s="39"/>
      <c r="I9" s="39"/>
      <c r="J9" s="39"/>
      <c r="K9" s="39"/>
      <c r="L9" s="39"/>
      <c r="AB9" s="21"/>
      <c r="AC9" s="21"/>
      <c r="AD9" s="21"/>
      <c r="AE9" s="21"/>
      <c r="AF9" s="21"/>
      <c r="AG9" s="21"/>
      <c r="AH9" s="21"/>
      <c r="AI9" s="21"/>
      <c r="AJ9" s="21"/>
      <c r="AK9" s="21"/>
      <c r="AL9" s="21"/>
      <c r="AM9" s="21"/>
      <c r="AN9" s="21"/>
      <c r="AO9" s="21"/>
      <c r="AP9" s="21"/>
      <c r="AQ9" s="21"/>
      <c r="AR9" s="21"/>
      <c r="AS9" s="21"/>
      <c r="BA9" t="s">
        <v>21</v>
      </c>
      <c r="BC9" t="s">
        <v>17</v>
      </c>
      <c r="BE9" t="s">
        <v>185</v>
      </c>
    </row>
    <row r="10" spans="5:74" ht="28.35" customHeight="1" x14ac:dyDescent="0.25">
      <c r="AB10" s="43" t="s">
        <v>183</v>
      </c>
      <c r="AC10" s="44"/>
      <c r="AD10" s="44"/>
      <c r="AE10" s="44"/>
      <c r="AF10" s="44"/>
      <c r="AG10" s="44"/>
      <c r="AH10" s="44"/>
      <c r="AI10" s="44"/>
      <c r="AJ10" s="44"/>
      <c r="AK10" s="44"/>
      <c r="AL10" s="44"/>
      <c r="AM10" s="44"/>
      <c r="AN10" s="44"/>
      <c r="AO10" s="44"/>
      <c r="AP10" s="44"/>
      <c r="AQ10" s="44"/>
      <c r="AR10" s="44"/>
      <c r="AS10" s="45"/>
      <c r="BA10" t="s">
        <v>16</v>
      </c>
      <c r="BC10" t="s">
        <v>16</v>
      </c>
      <c r="BE10" t="s">
        <v>16</v>
      </c>
    </row>
    <row r="11" spans="5:74" ht="28.35" customHeight="1" x14ac:dyDescent="0.25">
      <c r="E11" s="53" t="s">
        <v>20</v>
      </c>
      <c r="F11" s="53"/>
      <c r="G11" s="53"/>
      <c r="H11" s="53"/>
      <c r="I11" s="53"/>
      <c r="J11" s="53"/>
      <c r="K11" s="53"/>
      <c r="L11" s="53"/>
      <c r="M11" s="54" t="s">
        <v>176</v>
      </c>
      <c r="N11" s="54"/>
      <c r="O11" s="54"/>
      <c r="P11" s="54"/>
      <c r="Q11" s="54"/>
      <c r="R11" s="54"/>
      <c r="AB11" s="46"/>
      <c r="AC11" s="47"/>
      <c r="AD11" s="47"/>
      <c r="AE11" s="47"/>
      <c r="AF11" s="47"/>
      <c r="AG11" s="47"/>
      <c r="AH11" s="47"/>
      <c r="AI11" s="47"/>
      <c r="AJ11" s="47"/>
      <c r="AK11" s="47"/>
      <c r="AL11" s="47"/>
      <c r="AM11" s="47"/>
      <c r="AN11" s="47"/>
      <c r="AO11" s="47"/>
      <c r="AP11" s="47"/>
      <c r="AQ11" s="47"/>
      <c r="AR11" s="47"/>
      <c r="AS11" s="48"/>
      <c r="BA11" t="s">
        <v>36</v>
      </c>
      <c r="BC11">
        <v>1</v>
      </c>
      <c r="BE11" t="s">
        <v>186</v>
      </c>
    </row>
    <row r="12" spans="5:74" ht="28.35" customHeight="1" x14ac:dyDescent="0.25">
      <c r="E12" s="37" t="s">
        <v>30</v>
      </c>
      <c r="F12" s="37"/>
      <c r="G12" s="37"/>
      <c r="H12" s="37"/>
      <c r="I12" s="37"/>
      <c r="J12" s="37"/>
      <c r="K12" s="37"/>
      <c r="L12" s="37"/>
      <c r="M12" s="38">
        <v>19</v>
      </c>
      <c r="N12" s="38"/>
      <c r="O12" s="38"/>
      <c r="P12" s="38"/>
      <c r="Q12" s="38"/>
      <c r="R12" s="38"/>
      <c r="AB12" s="46"/>
      <c r="AC12" s="47"/>
      <c r="AD12" s="47"/>
      <c r="AE12" s="47"/>
      <c r="AF12" s="47"/>
      <c r="AG12" s="47"/>
      <c r="AH12" s="47"/>
      <c r="AI12" s="47"/>
      <c r="AJ12" s="47"/>
      <c r="AK12" s="47"/>
      <c r="AL12" s="47"/>
      <c r="AM12" s="47"/>
      <c r="AN12" s="47"/>
      <c r="AO12" s="47"/>
      <c r="AP12" s="47"/>
      <c r="AQ12" s="47"/>
      <c r="AR12" s="47"/>
      <c r="AS12" s="48"/>
      <c r="BA12" t="s">
        <v>37</v>
      </c>
      <c r="BC12">
        <v>2</v>
      </c>
      <c r="BE12" t="s">
        <v>187</v>
      </c>
    </row>
    <row r="13" spans="5:74" ht="28.35" customHeight="1" x14ac:dyDescent="0.25">
      <c r="E13" s="37" t="s">
        <v>31</v>
      </c>
      <c r="F13" s="37"/>
      <c r="G13" s="37"/>
      <c r="H13" s="37"/>
      <c r="I13" s="37"/>
      <c r="J13" s="37"/>
      <c r="K13" s="37"/>
      <c r="L13" s="37"/>
      <c r="M13" s="38" t="s">
        <v>37</v>
      </c>
      <c r="N13" s="38"/>
      <c r="O13" s="38"/>
      <c r="P13" s="38"/>
      <c r="Q13" s="38"/>
      <c r="R13" s="38"/>
      <c r="AB13" s="46"/>
      <c r="AC13" s="47"/>
      <c r="AD13" s="47"/>
      <c r="AE13" s="47"/>
      <c r="AF13" s="47"/>
      <c r="AG13" s="47"/>
      <c r="AH13" s="47"/>
      <c r="AI13" s="47"/>
      <c r="AJ13" s="47"/>
      <c r="AK13" s="47"/>
      <c r="AL13" s="47"/>
      <c r="AM13" s="47"/>
      <c r="AN13" s="47"/>
      <c r="AO13" s="47"/>
      <c r="AP13" s="47"/>
      <c r="AQ13" s="47"/>
      <c r="AR13" s="47"/>
      <c r="AS13" s="48"/>
      <c r="BA13" t="s">
        <v>38</v>
      </c>
      <c r="BC13">
        <v>3</v>
      </c>
      <c r="BE13" t="s">
        <v>179</v>
      </c>
    </row>
    <row r="14" spans="5:74" ht="28.35" customHeight="1" x14ac:dyDescent="0.25">
      <c r="E14" s="11"/>
      <c r="F14" s="11"/>
      <c r="G14" s="11"/>
      <c r="H14" s="11"/>
      <c r="I14" s="11"/>
      <c r="J14" s="11"/>
      <c r="K14" s="11"/>
      <c r="L14" s="11"/>
      <c r="M14" s="11"/>
      <c r="N14" s="11"/>
      <c r="O14" s="11"/>
      <c r="P14" s="11"/>
      <c r="Q14" s="11"/>
      <c r="R14" s="11"/>
      <c r="S14" s="4"/>
      <c r="AB14" s="46"/>
      <c r="AC14" s="47"/>
      <c r="AD14" s="47"/>
      <c r="AE14" s="47"/>
      <c r="AF14" s="47"/>
      <c r="AG14" s="47"/>
      <c r="AH14" s="47"/>
      <c r="AI14" s="47"/>
      <c r="AJ14" s="47"/>
      <c r="AK14" s="47"/>
      <c r="AL14" s="47"/>
      <c r="AM14" s="47"/>
      <c r="AN14" s="47"/>
      <c r="AO14" s="47"/>
      <c r="AP14" s="47"/>
      <c r="AQ14" s="47"/>
      <c r="AR14" s="47"/>
      <c r="AS14" s="48"/>
      <c r="BC14">
        <v>4</v>
      </c>
      <c r="BE14" t="s">
        <v>188</v>
      </c>
    </row>
    <row r="15" spans="5:74" ht="28.35" customHeight="1" x14ac:dyDescent="0.25">
      <c r="E15" s="56" t="s">
        <v>22</v>
      </c>
      <c r="F15" s="56"/>
      <c r="G15" s="56"/>
      <c r="H15" s="56"/>
      <c r="I15" s="56"/>
      <c r="J15" s="56"/>
      <c r="K15" s="56"/>
      <c r="L15" s="56"/>
      <c r="S15" s="4"/>
      <c r="AB15" s="46"/>
      <c r="AC15" s="47"/>
      <c r="AD15" s="47"/>
      <c r="AE15" s="47"/>
      <c r="AF15" s="47"/>
      <c r="AG15" s="47"/>
      <c r="AH15" s="47"/>
      <c r="AI15" s="47"/>
      <c r="AJ15" s="47"/>
      <c r="AK15" s="47"/>
      <c r="AL15" s="47"/>
      <c r="AM15" s="47"/>
      <c r="AN15" s="47"/>
      <c r="AO15" s="47"/>
      <c r="AP15" s="47"/>
      <c r="AQ15" s="47"/>
      <c r="AR15" s="47"/>
      <c r="AS15" s="48"/>
      <c r="BC15">
        <v>5</v>
      </c>
      <c r="BE15" t="s">
        <v>189</v>
      </c>
    </row>
    <row r="16" spans="5:74" ht="28.35" customHeight="1" x14ac:dyDescent="0.25">
      <c r="S16" s="4"/>
      <c r="AB16" s="46"/>
      <c r="AC16" s="47"/>
      <c r="AD16" s="47"/>
      <c r="AE16" s="47"/>
      <c r="AF16" s="47"/>
      <c r="AG16" s="47"/>
      <c r="AH16" s="47"/>
      <c r="AI16" s="47"/>
      <c r="AJ16" s="47"/>
      <c r="AK16" s="47"/>
      <c r="AL16" s="47"/>
      <c r="AM16" s="47"/>
      <c r="AN16" s="47"/>
      <c r="AO16" s="47"/>
      <c r="AP16" s="47"/>
      <c r="AQ16" s="47"/>
      <c r="AR16" s="47"/>
      <c r="AS16" s="48"/>
      <c r="BE16" t="s">
        <v>190</v>
      </c>
    </row>
    <row r="17" spans="5:74" ht="28.35" customHeight="1" x14ac:dyDescent="0.25">
      <c r="E17" s="57" t="s">
        <v>23</v>
      </c>
      <c r="F17" s="57"/>
      <c r="G17" s="57"/>
      <c r="H17" s="57"/>
      <c r="I17" s="57"/>
      <c r="J17" s="57"/>
      <c r="K17" s="57"/>
      <c r="L17" s="57"/>
      <c r="M17" s="3"/>
      <c r="N17" s="3"/>
      <c r="O17" s="3"/>
      <c r="P17" s="3"/>
      <c r="Q17" s="3"/>
      <c r="R17" s="3"/>
      <c r="S17" s="3"/>
      <c r="T17" s="3"/>
      <c r="AB17" s="46"/>
      <c r="AC17" s="47"/>
      <c r="AD17" s="47"/>
      <c r="AE17" s="47"/>
      <c r="AF17" s="47"/>
      <c r="AG17" s="47"/>
      <c r="AH17" s="47"/>
      <c r="AI17" s="47"/>
      <c r="AJ17" s="47"/>
      <c r="AK17" s="47"/>
      <c r="AL17" s="47"/>
      <c r="AM17" s="47"/>
      <c r="AN17" s="47"/>
      <c r="AO17" s="47"/>
      <c r="AP17" s="47"/>
      <c r="AQ17" s="47"/>
      <c r="AR17" s="47"/>
      <c r="AS17" s="48"/>
      <c r="BE17" t="s">
        <v>191</v>
      </c>
    </row>
    <row r="18" spans="5:74" ht="28.35" customHeight="1" x14ac:dyDescent="0.25">
      <c r="E18" s="37" t="s">
        <v>24</v>
      </c>
      <c r="F18" s="37"/>
      <c r="G18" s="37"/>
      <c r="H18" s="37"/>
      <c r="I18" s="37"/>
      <c r="J18" s="37"/>
      <c r="K18" s="37"/>
      <c r="L18" s="37"/>
      <c r="M18" s="54" t="s">
        <v>177</v>
      </c>
      <c r="N18" s="54"/>
      <c r="O18" s="54"/>
      <c r="P18" s="54"/>
      <c r="Q18" s="54"/>
      <c r="R18" s="54"/>
      <c r="S18" s="3"/>
      <c r="T18" s="3"/>
      <c r="AB18" s="46"/>
      <c r="AC18" s="47"/>
      <c r="AD18" s="47"/>
      <c r="AE18" s="47"/>
      <c r="AF18" s="47"/>
      <c r="AG18" s="47"/>
      <c r="AH18" s="47"/>
      <c r="AI18" s="47"/>
      <c r="AJ18" s="47"/>
      <c r="AK18" s="47"/>
      <c r="AL18" s="47"/>
      <c r="AM18" s="47"/>
      <c r="AN18" s="47"/>
      <c r="AO18" s="47"/>
      <c r="AP18" s="47"/>
      <c r="AQ18" s="47"/>
      <c r="AR18" s="47"/>
      <c r="AS18" s="48"/>
      <c r="BE18" t="s">
        <v>192</v>
      </c>
    </row>
    <row r="19" spans="5:74" ht="28.35" customHeight="1" x14ac:dyDescent="0.25">
      <c r="E19" s="37" t="s">
        <v>25</v>
      </c>
      <c r="F19" s="37"/>
      <c r="G19" s="37"/>
      <c r="H19" s="37"/>
      <c r="I19" s="37"/>
      <c r="J19" s="37"/>
      <c r="K19" s="37"/>
      <c r="L19" s="37"/>
      <c r="M19" s="38" t="s">
        <v>178</v>
      </c>
      <c r="N19" s="38"/>
      <c r="O19" s="38"/>
      <c r="P19" s="38"/>
      <c r="Q19" s="38"/>
      <c r="R19" s="38"/>
      <c r="S19" s="3"/>
      <c r="T19" s="3"/>
      <c r="AB19" s="46"/>
      <c r="AC19" s="47"/>
      <c r="AD19" s="47"/>
      <c r="AE19" s="47"/>
      <c r="AF19" s="47"/>
      <c r="AG19" s="47"/>
      <c r="AH19" s="47"/>
      <c r="AI19" s="47"/>
      <c r="AJ19" s="47"/>
      <c r="AK19" s="47"/>
      <c r="AL19" s="47"/>
      <c r="AM19" s="47"/>
      <c r="AN19" s="47"/>
      <c r="AO19" s="47"/>
      <c r="AP19" s="47"/>
      <c r="AQ19" s="47"/>
      <c r="AR19" s="47"/>
      <c r="AS19" s="48"/>
      <c r="BE19" t="s">
        <v>193</v>
      </c>
    </row>
    <row r="20" spans="5:74" ht="28.35" customHeight="1" x14ac:dyDescent="0.25">
      <c r="E20" s="37" t="s">
        <v>26</v>
      </c>
      <c r="F20" s="37"/>
      <c r="G20" s="37"/>
      <c r="H20" s="37"/>
      <c r="I20" s="37"/>
      <c r="J20" s="37"/>
      <c r="K20" s="37"/>
      <c r="L20" s="37"/>
      <c r="M20" s="38" t="s">
        <v>179</v>
      </c>
      <c r="N20" s="38"/>
      <c r="O20" s="38"/>
      <c r="P20" s="38"/>
      <c r="Q20" s="38"/>
      <c r="R20" s="38"/>
      <c r="S20" s="3"/>
      <c r="T20" s="3"/>
      <c r="AB20" s="49"/>
      <c r="AC20" s="50"/>
      <c r="AD20" s="50"/>
      <c r="AE20" s="50"/>
      <c r="AF20" s="50"/>
      <c r="AG20" s="50"/>
      <c r="AH20" s="50"/>
      <c r="AI20" s="50"/>
      <c r="AJ20" s="50"/>
      <c r="AK20" s="50"/>
      <c r="AL20" s="50"/>
      <c r="AM20" s="50"/>
      <c r="AN20" s="50"/>
      <c r="AO20" s="50"/>
      <c r="AP20" s="50"/>
      <c r="AQ20" s="50"/>
      <c r="AR20" s="50"/>
      <c r="AS20" s="51"/>
      <c r="BE20" t="s">
        <v>194</v>
      </c>
    </row>
    <row r="21" spans="5:74" ht="28.35" customHeight="1" x14ac:dyDescent="0.25">
      <c r="E21" s="10"/>
      <c r="F21" s="10"/>
      <c r="G21" s="10"/>
      <c r="H21" s="10"/>
      <c r="I21" s="10"/>
      <c r="J21" s="10"/>
      <c r="K21" s="10"/>
      <c r="L21" s="10"/>
      <c r="M21" s="11"/>
      <c r="N21" s="11"/>
      <c r="O21" s="11"/>
      <c r="P21" s="11"/>
      <c r="Q21" s="11"/>
      <c r="R21" s="11"/>
      <c r="S21" s="3"/>
      <c r="T21" s="3"/>
      <c r="BE21" t="s">
        <v>195</v>
      </c>
    </row>
    <row r="22" spans="5:74" ht="28.35" customHeight="1" x14ac:dyDescent="0.25">
      <c r="E22" s="56" t="s">
        <v>168</v>
      </c>
      <c r="F22" s="56"/>
      <c r="G22" s="56"/>
      <c r="H22" s="56"/>
      <c r="I22" s="56"/>
      <c r="J22" s="56"/>
      <c r="K22" s="56"/>
      <c r="L22" s="56"/>
      <c r="M22" s="11"/>
      <c r="N22" s="11"/>
      <c r="O22" s="11"/>
      <c r="P22" s="11"/>
      <c r="Q22" s="11"/>
      <c r="R22" s="11"/>
      <c r="S22" s="3"/>
      <c r="T22" s="3"/>
      <c r="BE22" t="s">
        <v>196</v>
      </c>
    </row>
    <row r="23" spans="5:74" ht="28.35" customHeight="1" x14ac:dyDescent="0.25">
      <c r="E23" s="17"/>
      <c r="F23" s="17"/>
      <c r="G23" s="17"/>
      <c r="H23" s="17"/>
      <c r="I23" s="17"/>
      <c r="J23" s="17"/>
      <c r="K23" s="17"/>
      <c r="L23" s="17"/>
      <c r="M23" s="17"/>
      <c r="N23" s="17"/>
      <c r="O23" s="17"/>
      <c r="P23" s="17"/>
      <c r="Q23" s="17"/>
      <c r="R23" s="17"/>
      <c r="S23" s="17"/>
      <c r="T23" s="17"/>
      <c r="U23" s="17"/>
      <c r="V23" s="17"/>
      <c r="AB23" s="34"/>
      <c r="AC23" s="34"/>
      <c r="AD23" s="34"/>
      <c r="AE23" s="34"/>
      <c r="AF23" s="34"/>
      <c r="AG23" s="34"/>
      <c r="AH23" s="34"/>
      <c r="AI23" s="34"/>
      <c r="AJ23" s="34"/>
      <c r="AK23" s="34"/>
      <c r="AL23" s="34"/>
      <c r="AM23" s="34"/>
      <c r="AN23" s="34"/>
      <c r="AO23" s="34"/>
      <c r="AP23" s="34"/>
      <c r="AQ23" s="34"/>
      <c r="AR23" s="34"/>
      <c r="AS23" s="34"/>
      <c r="BE23" t="s">
        <v>197</v>
      </c>
    </row>
    <row r="24" spans="5:74" ht="28.35" customHeight="1" x14ac:dyDescent="0.25">
      <c r="E24" s="34" t="s">
        <v>181</v>
      </c>
      <c r="F24" s="34"/>
      <c r="G24" s="34"/>
      <c r="H24" s="34"/>
      <c r="I24" s="34"/>
      <c r="J24" s="34"/>
      <c r="K24" s="34"/>
      <c r="L24" s="34"/>
      <c r="M24" s="34"/>
      <c r="N24" s="34"/>
      <c r="O24" s="34"/>
      <c r="P24" s="34"/>
      <c r="Q24" s="34"/>
      <c r="R24" s="34"/>
      <c r="S24" s="34"/>
      <c r="T24" s="34"/>
      <c r="U24" s="34"/>
      <c r="V24" s="34"/>
      <c r="AB24" s="34"/>
      <c r="AC24" s="34"/>
      <c r="AD24" s="34"/>
      <c r="AE24" s="34"/>
      <c r="AF24" s="34"/>
      <c r="AG24" s="34"/>
      <c r="AH24" s="34"/>
      <c r="AI24" s="34"/>
      <c r="AJ24" s="34"/>
      <c r="AK24" s="34"/>
      <c r="AL24" s="34"/>
      <c r="AM24" s="34"/>
      <c r="AN24" s="34"/>
      <c r="AO24" s="34"/>
      <c r="AP24" s="34"/>
      <c r="AQ24" s="34"/>
      <c r="AR24" s="34"/>
      <c r="AS24" s="34"/>
      <c r="BE24" t="s">
        <v>198</v>
      </c>
    </row>
    <row r="25" spans="5:74" ht="28.35" customHeight="1" x14ac:dyDescent="0.25">
      <c r="E25" s="34"/>
      <c r="F25" s="34"/>
      <c r="G25" s="34"/>
      <c r="H25" s="34"/>
      <c r="I25" s="34"/>
      <c r="J25" s="34"/>
      <c r="K25" s="34"/>
      <c r="L25" s="34"/>
      <c r="M25" s="34"/>
      <c r="N25" s="34"/>
      <c r="O25" s="34"/>
      <c r="P25" s="34"/>
      <c r="Q25" s="34"/>
      <c r="R25" s="34"/>
      <c r="S25" s="34"/>
      <c r="T25" s="34"/>
      <c r="U25" s="34"/>
      <c r="V25" s="34"/>
      <c r="AB25" s="34"/>
      <c r="AC25" s="34"/>
      <c r="AD25" s="34"/>
      <c r="AE25" s="34"/>
      <c r="AF25" s="34"/>
      <c r="AG25" s="34"/>
      <c r="AH25" s="34"/>
      <c r="AI25" s="34"/>
      <c r="AJ25" s="34"/>
      <c r="AK25" s="34"/>
      <c r="AL25" s="34"/>
      <c r="AM25" s="34"/>
      <c r="AN25" s="34"/>
      <c r="AO25" s="34"/>
      <c r="AP25" s="34"/>
      <c r="AQ25" s="34"/>
      <c r="AR25" s="34"/>
      <c r="AS25" s="34"/>
      <c r="BE25" t="s">
        <v>199</v>
      </c>
    </row>
    <row r="26" spans="5:74" ht="28.35" customHeight="1" x14ac:dyDescent="0.25">
      <c r="E26" s="34"/>
      <c r="F26" s="34"/>
      <c r="G26" s="34"/>
      <c r="H26" s="34"/>
      <c r="I26" s="34"/>
      <c r="J26" s="34"/>
      <c r="K26" s="34"/>
      <c r="L26" s="34"/>
      <c r="M26" s="34"/>
      <c r="N26" s="34"/>
      <c r="O26" s="34"/>
      <c r="P26" s="34"/>
      <c r="Q26" s="34"/>
      <c r="R26" s="34"/>
      <c r="S26" s="34"/>
      <c r="T26" s="34"/>
      <c r="U26" s="34"/>
      <c r="V26" s="34"/>
      <c r="AB26" s="34"/>
      <c r="AC26" s="34"/>
      <c r="AD26" s="34"/>
      <c r="AE26" s="34"/>
      <c r="AF26" s="34"/>
      <c r="AG26" s="34"/>
      <c r="AH26" s="34"/>
      <c r="AI26" s="34"/>
      <c r="AJ26" s="34"/>
      <c r="AK26" s="34"/>
      <c r="AL26" s="34"/>
      <c r="AM26" s="34"/>
      <c r="AN26" s="34"/>
      <c r="AO26" s="34"/>
      <c r="AP26" s="34"/>
      <c r="AQ26" s="34"/>
      <c r="AR26" s="34"/>
      <c r="AS26" s="34"/>
      <c r="BE26" t="s">
        <v>200</v>
      </c>
    </row>
    <row r="27" spans="5:74" ht="28.35" customHeight="1" x14ac:dyDescent="0.25">
      <c r="E27" s="34"/>
      <c r="F27" s="34"/>
      <c r="G27" s="34"/>
      <c r="H27" s="34"/>
      <c r="I27" s="34"/>
      <c r="J27" s="34"/>
      <c r="K27" s="34"/>
      <c r="L27" s="34"/>
      <c r="M27" s="34"/>
      <c r="N27" s="34"/>
      <c r="O27" s="34"/>
      <c r="P27" s="34"/>
      <c r="Q27" s="34"/>
      <c r="R27" s="34"/>
      <c r="S27" s="34"/>
      <c r="T27" s="34"/>
      <c r="U27" s="34"/>
      <c r="V27" s="34"/>
      <c r="AN27" s="4"/>
      <c r="AO27" s="4"/>
      <c r="AP27" s="4"/>
      <c r="AQ27" s="4"/>
      <c r="AR27" s="4"/>
      <c r="AS27" s="4"/>
      <c r="BE27" t="s">
        <v>201</v>
      </c>
    </row>
    <row r="28" spans="5:74" ht="28.35" customHeight="1" x14ac:dyDescent="0.25">
      <c r="E28" s="34"/>
      <c r="F28" s="34"/>
      <c r="G28" s="34"/>
      <c r="H28" s="34"/>
      <c r="I28" s="34"/>
      <c r="J28" s="34"/>
      <c r="K28" s="34"/>
      <c r="L28" s="34"/>
      <c r="M28" s="34"/>
      <c r="N28" s="34"/>
      <c r="O28" s="34"/>
      <c r="P28" s="34"/>
      <c r="Q28" s="34"/>
      <c r="R28" s="34"/>
      <c r="S28" s="34"/>
      <c r="T28" s="34"/>
      <c r="U28" s="34"/>
      <c r="V28" s="34"/>
      <c r="BE28" t="s">
        <v>202</v>
      </c>
    </row>
    <row r="29" spans="5:74" ht="28.35" customHeight="1" x14ac:dyDescent="0.25">
      <c r="M29" s="20" t="s">
        <v>173</v>
      </c>
      <c r="AJ29" s="20" t="s">
        <v>175</v>
      </c>
      <c r="BE29" t="s">
        <v>203</v>
      </c>
    </row>
    <row r="30" spans="5:74" ht="28.35" customHeight="1" x14ac:dyDescent="0.25">
      <c r="BE30" t="s">
        <v>204</v>
      </c>
    </row>
    <row r="31" spans="5:74" ht="28.35" customHeight="1" x14ac:dyDescent="0.25">
      <c r="BE31" t="s">
        <v>205</v>
      </c>
    </row>
    <row r="32" spans="5:74" s="5" customFormat="1" ht="28.35" customHeight="1" x14ac:dyDescent="0.25">
      <c r="AV32"/>
      <c r="AW32"/>
      <c r="AX32"/>
      <c r="AY32"/>
      <c r="AZ32"/>
      <c r="BA32"/>
      <c r="BB32"/>
      <c r="BC32"/>
      <c r="BD32"/>
      <c r="BE32" t="s">
        <v>206</v>
      </c>
      <c r="BF32"/>
      <c r="BG32"/>
      <c r="BH32"/>
      <c r="BI32"/>
      <c r="BJ32"/>
      <c r="BK32"/>
      <c r="BL32"/>
      <c r="BM32"/>
      <c r="BN32"/>
      <c r="BO32"/>
      <c r="BP32"/>
      <c r="BQ32"/>
      <c r="BR32"/>
      <c r="BS32"/>
      <c r="BT32"/>
      <c r="BU32"/>
      <c r="BV32"/>
    </row>
    <row r="33" spans="4:64" ht="28.35" customHeight="1" x14ac:dyDescent="0.25">
      <c r="BE33" t="s">
        <v>207</v>
      </c>
    </row>
    <row r="34" spans="4:64" ht="28.35" customHeight="1" x14ac:dyDescent="0.25">
      <c r="BE34" t="s">
        <v>208</v>
      </c>
    </row>
    <row r="35" spans="4:64" ht="28.35" customHeight="1" x14ac:dyDescent="0.25">
      <c r="BE35" t="s">
        <v>209</v>
      </c>
    </row>
    <row r="36" spans="4:64" ht="28.35" customHeight="1" x14ac:dyDescent="0.25"/>
    <row r="37" spans="4:64" ht="28.35" customHeight="1" x14ac:dyDescent="0.25"/>
    <row r="38" spans="4:64" ht="28.35" customHeight="1" x14ac:dyDescent="0.25">
      <c r="D38" s="39" t="s">
        <v>59</v>
      </c>
      <c r="E38" s="39"/>
      <c r="F38" s="39"/>
      <c r="G38" s="39"/>
      <c r="H38" s="39"/>
      <c r="I38" s="39"/>
      <c r="J38" s="39"/>
      <c r="K38" s="39"/>
      <c r="L38" s="39"/>
    </row>
    <row r="39" spans="4:64" ht="28.35" customHeight="1" x14ac:dyDescent="0.25"/>
    <row r="40" spans="4:64" ht="28.35" customHeight="1" x14ac:dyDescent="0.25">
      <c r="D40" s="33" t="s">
        <v>41</v>
      </c>
      <c r="E40" s="33"/>
      <c r="F40" s="6"/>
      <c r="G40" s="36" t="s">
        <v>1</v>
      </c>
      <c r="H40" s="36"/>
      <c r="I40" s="36"/>
      <c r="J40" s="33" t="s">
        <v>42</v>
      </c>
      <c r="K40" s="33"/>
      <c r="L40" s="6"/>
      <c r="M40" s="36" t="s">
        <v>1</v>
      </c>
      <c r="N40" s="36"/>
      <c r="O40" s="36"/>
      <c r="P40" s="33" t="s">
        <v>43</v>
      </c>
      <c r="Q40" s="33"/>
      <c r="R40" s="6"/>
      <c r="S40" s="36" t="s">
        <v>1</v>
      </c>
      <c r="T40" s="36"/>
      <c r="U40" s="36"/>
      <c r="BA40" t="s">
        <v>2</v>
      </c>
      <c r="BB40" t="s">
        <v>1</v>
      </c>
      <c r="BC40" t="s">
        <v>44</v>
      </c>
      <c r="BD40" t="s">
        <v>48</v>
      </c>
    </row>
    <row r="41" spans="4:64" ht="28.35" customHeight="1" x14ac:dyDescent="0.25">
      <c r="D41" s="40" t="s">
        <v>0</v>
      </c>
      <c r="E41" s="40"/>
      <c r="F41" s="6"/>
      <c r="G41" s="41"/>
      <c r="H41" s="41"/>
      <c r="I41" s="41"/>
      <c r="J41" s="40" t="s">
        <v>0</v>
      </c>
      <c r="K41" s="40"/>
      <c r="L41" s="6"/>
      <c r="M41" s="41"/>
      <c r="N41" s="41"/>
      <c r="O41" s="41"/>
      <c r="P41" s="40" t="s">
        <v>0</v>
      </c>
      <c r="Q41" s="40"/>
      <c r="R41" s="6"/>
      <c r="S41" s="41"/>
      <c r="T41" s="41"/>
      <c r="U41" s="41"/>
      <c r="BA41" t="s">
        <v>50</v>
      </c>
      <c r="BB41">
        <f>SUM(G42:I55,M42:O55,S42:U54)</f>
        <v>0</v>
      </c>
      <c r="BC41" s="14">
        <f>COUNTIF(G42:G55,"")+COUNTIF(G42:G55,"-")+COUNTIF(M42:M55,"")+COUNTIF(M42:M55,"-")+COUNTIF(S42:S54,"")+COUNTIF(S42:S54,"-")</f>
        <v>41</v>
      </c>
    </row>
    <row r="42" spans="4:64" ht="28.35" customHeight="1" x14ac:dyDescent="0.25">
      <c r="D42" s="33">
        <v>1</v>
      </c>
      <c r="E42" s="33"/>
      <c r="F42" s="6"/>
      <c r="G42" s="35"/>
      <c r="H42" s="35"/>
      <c r="I42" s="35"/>
      <c r="J42" s="33">
        <v>15</v>
      </c>
      <c r="K42" s="33"/>
      <c r="L42" s="6"/>
      <c r="M42" s="35"/>
      <c r="N42" s="35"/>
      <c r="O42" s="35"/>
      <c r="P42" s="33">
        <v>29</v>
      </c>
      <c r="Q42" s="33"/>
      <c r="R42" s="6"/>
      <c r="S42" s="35"/>
      <c r="T42" s="35"/>
      <c r="U42" s="35"/>
      <c r="BA42" t="s">
        <v>51</v>
      </c>
      <c r="BB42">
        <f t="shared" ref="BB42:BB47" si="0">SUM(BD42:BL42)</f>
        <v>0</v>
      </c>
      <c r="BC42" s="14">
        <f>COUNTIF(BD42:BL42,0)+COUNTIF(BD42:BL42,"-")</f>
        <v>4</v>
      </c>
      <c r="BD42">
        <f>G42</f>
        <v>0</v>
      </c>
      <c r="BE42">
        <f>G51</f>
        <v>0</v>
      </c>
      <c r="BF42">
        <f>M46</f>
        <v>0</v>
      </c>
      <c r="BG42">
        <f>M55</f>
        <v>0</v>
      </c>
    </row>
    <row r="43" spans="4:64" ht="28.35" customHeight="1" x14ac:dyDescent="0.25">
      <c r="D43" s="33">
        <v>2</v>
      </c>
      <c r="E43" s="33"/>
      <c r="F43" s="6"/>
      <c r="G43" s="35"/>
      <c r="H43" s="35"/>
      <c r="I43" s="35"/>
      <c r="J43" s="33">
        <v>16</v>
      </c>
      <c r="K43" s="33"/>
      <c r="L43" s="6"/>
      <c r="M43" s="35"/>
      <c r="N43" s="35"/>
      <c r="O43" s="35"/>
      <c r="P43" s="33">
        <v>30</v>
      </c>
      <c r="Q43" s="33"/>
      <c r="R43" s="6"/>
      <c r="S43" s="35"/>
      <c r="T43" s="35"/>
      <c r="U43" s="35"/>
      <c r="BA43" t="s">
        <v>52</v>
      </c>
      <c r="BB43">
        <f t="shared" si="0"/>
        <v>0</v>
      </c>
      <c r="BC43" s="14">
        <f t="shared" ref="BC43:BC49" si="1">COUNTIF(BD43:BL43,0)+COUNTIF(BD43:BL43,"-")</f>
        <v>5</v>
      </c>
      <c r="BD43">
        <f>G48</f>
        <v>0</v>
      </c>
      <c r="BE43">
        <f>M43</f>
        <v>0</v>
      </c>
      <c r="BF43">
        <f>M52</f>
        <v>0</v>
      </c>
      <c r="BG43">
        <f>S47</f>
        <v>0</v>
      </c>
      <c r="BH43">
        <f>S54</f>
        <v>0</v>
      </c>
    </row>
    <row r="44" spans="4:64" ht="28.35" customHeight="1" x14ac:dyDescent="0.25">
      <c r="D44" s="33">
        <v>3</v>
      </c>
      <c r="E44" s="33"/>
      <c r="F44" s="6"/>
      <c r="G44" s="35"/>
      <c r="H44" s="35"/>
      <c r="I44" s="35"/>
      <c r="J44" s="33">
        <v>17</v>
      </c>
      <c r="K44" s="33"/>
      <c r="L44" s="6"/>
      <c r="M44" s="35"/>
      <c r="N44" s="35"/>
      <c r="O44" s="35"/>
      <c r="P44" s="33">
        <v>31</v>
      </c>
      <c r="Q44" s="33"/>
      <c r="R44" s="6"/>
      <c r="S44" s="35"/>
      <c r="T44" s="35"/>
      <c r="U44" s="35"/>
      <c r="BA44" t="s">
        <v>53</v>
      </c>
      <c r="BB44">
        <f t="shared" si="0"/>
        <v>0</v>
      </c>
      <c r="BC44" s="14">
        <f t="shared" si="1"/>
        <v>5</v>
      </c>
      <c r="BD44">
        <f>G47</f>
        <v>0</v>
      </c>
      <c r="BE44">
        <f>M42</f>
        <v>0</v>
      </c>
      <c r="BF44">
        <f>M51</f>
        <v>0</v>
      </c>
      <c r="BG44">
        <f>S46</f>
        <v>0</v>
      </c>
      <c r="BH44">
        <f>S53</f>
        <v>0</v>
      </c>
    </row>
    <row r="45" spans="4:64" ht="28.35" customHeight="1" x14ac:dyDescent="0.25">
      <c r="D45" s="33">
        <v>4</v>
      </c>
      <c r="E45" s="33"/>
      <c r="F45" s="6"/>
      <c r="G45" s="35"/>
      <c r="H45" s="35"/>
      <c r="I45" s="35"/>
      <c r="J45" s="33">
        <v>18</v>
      </c>
      <c r="K45" s="33"/>
      <c r="L45" s="6"/>
      <c r="M45" s="35"/>
      <c r="N45" s="35"/>
      <c r="O45" s="35"/>
      <c r="P45" s="33">
        <v>32</v>
      </c>
      <c r="Q45" s="33"/>
      <c r="R45" s="6"/>
      <c r="S45" s="35"/>
      <c r="T45" s="35"/>
      <c r="U45" s="35"/>
      <c r="BA45" t="s">
        <v>54</v>
      </c>
      <c r="BB45">
        <f t="shared" si="0"/>
        <v>0</v>
      </c>
      <c r="BC45" s="14">
        <f t="shared" si="1"/>
        <v>5</v>
      </c>
      <c r="BD45">
        <f>G44</f>
        <v>0</v>
      </c>
      <c r="BE45">
        <f>G53</f>
        <v>0</v>
      </c>
      <c r="BF45">
        <f>M48</f>
        <v>0</v>
      </c>
      <c r="BG45">
        <f>S43</f>
        <v>0</v>
      </c>
      <c r="BH45">
        <f>S51</f>
        <v>0</v>
      </c>
    </row>
    <row r="46" spans="4:64" ht="28.35" customHeight="1" x14ac:dyDescent="0.25">
      <c r="D46" s="33">
        <v>5</v>
      </c>
      <c r="E46" s="33"/>
      <c r="F46" s="6"/>
      <c r="G46" s="35"/>
      <c r="H46" s="35"/>
      <c r="I46" s="35"/>
      <c r="J46" s="33">
        <v>19</v>
      </c>
      <c r="K46" s="33"/>
      <c r="L46" s="6"/>
      <c r="M46" s="35"/>
      <c r="N46" s="35"/>
      <c r="O46" s="35"/>
      <c r="P46" s="33">
        <v>33</v>
      </c>
      <c r="Q46" s="33"/>
      <c r="R46" s="6"/>
      <c r="S46" s="35"/>
      <c r="T46" s="35"/>
      <c r="U46" s="35"/>
      <c r="BA46" t="s">
        <v>55</v>
      </c>
      <c r="BB46">
        <f t="shared" si="0"/>
        <v>0</v>
      </c>
      <c r="BC46" s="14">
        <f t="shared" si="1"/>
        <v>5</v>
      </c>
      <c r="BD46">
        <f>G43</f>
        <v>0</v>
      </c>
      <c r="BE46">
        <f>G52</f>
        <v>0</v>
      </c>
      <c r="BF46">
        <f>M47</f>
        <v>0</v>
      </c>
      <c r="BG46">
        <f>S42</f>
        <v>0</v>
      </c>
      <c r="BH46">
        <f>S50</f>
        <v>0</v>
      </c>
    </row>
    <row r="47" spans="4:64" ht="28.35" customHeight="1" x14ac:dyDescent="0.25">
      <c r="D47" s="33">
        <v>6</v>
      </c>
      <c r="E47" s="33"/>
      <c r="F47" s="6"/>
      <c r="G47" s="35"/>
      <c r="H47" s="35"/>
      <c r="I47" s="35"/>
      <c r="J47" s="33">
        <v>20</v>
      </c>
      <c r="K47" s="33"/>
      <c r="L47" s="6"/>
      <c r="M47" s="35"/>
      <c r="N47" s="35"/>
      <c r="O47" s="35"/>
      <c r="P47" s="33">
        <v>34</v>
      </c>
      <c r="Q47" s="33"/>
      <c r="R47" s="6"/>
      <c r="S47" s="35"/>
      <c r="T47" s="35"/>
      <c r="U47" s="35"/>
      <c r="BA47" t="s">
        <v>56</v>
      </c>
      <c r="BB47">
        <f t="shared" si="0"/>
        <v>0</v>
      </c>
      <c r="BC47" s="14">
        <f t="shared" si="1"/>
        <v>4</v>
      </c>
      <c r="BD47">
        <f>G45</f>
        <v>0</v>
      </c>
      <c r="BE47">
        <f>G54</f>
        <v>0</v>
      </c>
      <c r="BF47">
        <f>M49</f>
        <v>0</v>
      </c>
      <c r="BG47">
        <f>S44</f>
        <v>0</v>
      </c>
    </row>
    <row r="48" spans="4:64" ht="28.35" customHeight="1" x14ac:dyDescent="0.25">
      <c r="D48" s="33">
        <v>7</v>
      </c>
      <c r="E48" s="33"/>
      <c r="F48" s="6"/>
      <c r="G48" s="35"/>
      <c r="H48" s="35"/>
      <c r="I48" s="35"/>
      <c r="J48" s="33">
        <v>21</v>
      </c>
      <c r="K48" s="33"/>
      <c r="L48" s="6"/>
      <c r="M48" s="35"/>
      <c r="N48" s="35"/>
      <c r="O48" s="35"/>
      <c r="P48" s="33">
        <v>35</v>
      </c>
      <c r="Q48" s="33"/>
      <c r="R48" s="6"/>
      <c r="S48" s="35"/>
      <c r="T48" s="35"/>
      <c r="U48" s="35"/>
      <c r="BA48" t="s">
        <v>57</v>
      </c>
      <c r="BB48">
        <f t="shared" ref="BB48:BB49" si="2">SUM(BD48:BL48)</f>
        <v>0</v>
      </c>
      <c r="BC48" s="14">
        <f t="shared" si="1"/>
        <v>9</v>
      </c>
      <c r="BD48">
        <f>G46</f>
        <v>0</v>
      </c>
      <c r="BE48">
        <f>G50</f>
        <v>0</v>
      </c>
      <c r="BF48">
        <f>G55</f>
        <v>0</v>
      </c>
      <c r="BG48">
        <f>M45</f>
        <v>0</v>
      </c>
      <c r="BH48">
        <f>M50</f>
        <v>0</v>
      </c>
      <c r="BI48">
        <f>M54</f>
        <v>0</v>
      </c>
      <c r="BJ48">
        <f>S45</f>
        <v>0</v>
      </c>
      <c r="BK48">
        <f>S49</f>
        <v>0</v>
      </c>
      <c r="BL48">
        <f>S52</f>
        <v>0</v>
      </c>
    </row>
    <row r="49" spans="4:59" ht="28.35" customHeight="1" x14ac:dyDescent="0.25">
      <c r="D49" s="33">
        <v>8</v>
      </c>
      <c r="E49" s="33"/>
      <c r="F49" s="6"/>
      <c r="G49" s="35"/>
      <c r="H49" s="35"/>
      <c r="I49" s="35"/>
      <c r="J49" s="33">
        <v>22</v>
      </c>
      <c r="K49" s="33"/>
      <c r="L49" s="6"/>
      <c r="M49" s="35"/>
      <c r="N49" s="35"/>
      <c r="O49" s="35"/>
      <c r="P49" s="33">
        <v>36</v>
      </c>
      <c r="Q49" s="33"/>
      <c r="R49" s="6"/>
      <c r="S49" s="35"/>
      <c r="T49" s="35"/>
      <c r="U49" s="35"/>
      <c r="BA49" t="s">
        <v>58</v>
      </c>
      <c r="BB49">
        <f t="shared" si="2"/>
        <v>0</v>
      </c>
      <c r="BC49" s="14">
        <f t="shared" si="1"/>
        <v>4</v>
      </c>
      <c r="BD49">
        <f>G49</f>
        <v>0</v>
      </c>
      <c r="BE49">
        <f>M44</f>
        <v>0</v>
      </c>
      <c r="BF49">
        <f>M53</f>
        <v>0</v>
      </c>
      <c r="BG49">
        <f>S48</f>
        <v>0</v>
      </c>
    </row>
    <row r="50" spans="4:59" ht="28.35" customHeight="1" x14ac:dyDescent="0.25">
      <c r="D50" s="33">
        <v>9</v>
      </c>
      <c r="E50" s="33"/>
      <c r="F50" s="6"/>
      <c r="G50" s="35"/>
      <c r="H50" s="35"/>
      <c r="I50" s="35"/>
      <c r="J50" s="33">
        <v>23</v>
      </c>
      <c r="K50" s="33"/>
      <c r="L50" s="6"/>
      <c r="M50" s="35"/>
      <c r="N50" s="35"/>
      <c r="O50" s="35"/>
      <c r="P50" s="33">
        <v>37</v>
      </c>
      <c r="Q50" s="33"/>
      <c r="R50" s="6"/>
      <c r="S50" s="35"/>
      <c r="T50" s="35"/>
      <c r="U50" s="35"/>
    </row>
    <row r="51" spans="4:59" ht="28.35" customHeight="1" x14ac:dyDescent="0.25">
      <c r="D51" s="33">
        <v>10</v>
      </c>
      <c r="E51" s="33"/>
      <c r="F51" s="6"/>
      <c r="G51" s="35"/>
      <c r="H51" s="35"/>
      <c r="I51" s="35"/>
      <c r="J51" s="33">
        <v>24</v>
      </c>
      <c r="K51" s="33"/>
      <c r="L51" s="6"/>
      <c r="M51" s="35"/>
      <c r="N51" s="35"/>
      <c r="O51" s="35"/>
      <c r="P51" s="33">
        <v>38</v>
      </c>
      <c r="Q51" s="33"/>
      <c r="R51" s="6"/>
      <c r="S51" s="35"/>
      <c r="T51" s="35"/>
      <c r="U51" s="35"/>
    </row>
    <row r="52" spans="4:59" ht="28.35" customHeight="1" x14ac:dyDescent="0.25">
      <c r="D52" s="33">
        <v>11</v>
      </c>
      <c r="E52" s="33"/>
      <c r="F52" s="6"/>
      <c r="G52" s="35"/>
      <c r="H52" s="35"/>
      <c r="I52" s="35"/>
      <c r="J52" s="33">
        <v>25</v>
      </c>
      <c r="K52" s="33"/>
      <c r="L52" s="6"/>
      <c r="M52" s="35"/>
      <c r="N52" s="35"/>
      <c r="O52" s="35"/>
      <c r="P52" s="33">
        <v>39</v>
      </c>
      <c r="Q52" s="33"/>
      <c r="R52" s="6"/>
      <c r="S52" s="35"/>
      <c r="T52" s="35"/>
      <c r="U52" s="35"/>
    </row>
    <row r="53" spans="4:59" ht="28.35" customHeight="1" x14ac:dyDescent="0.25">
      <c r="D53" s="33">
        <v>12</v>
      </c>
      <c r="E53" s="33"/>
      <c r="F53" s="6"/>
      <c r="G53" s="35"/>
      <c r="H53" s="35"/>
      <c r="I53" s="35"/>
      <c r="J53" s="33">
        <v>26</v>
      </c>
      <c r="K53" s="33"/>
      <c r="L53" s="6"/>
      <c r="M53" s="35"/>
      <c r="N53" s="35"/>
      <c r="O53" s="35"/>
      <c r="P53" s="33">
        <v>40</v>
      </c>
      <c r="Q53" s="33"/>
      <c r="R53" s="6"/>
      <c r="S53" s="35"/>
      <c r="T53" s="35"/>
      <c r="U53" s="35"/>
    </row>
    <row r="54" spans="4:59" ht="28.35" customHeight="1" x14ac:dyDescent="0.25">
      <c r="D54" s="33">
        <v>13</v>
      </c>
      <c r="E54" s="33"/>
      <c r="F54" s="6"/>
      <c r="G54" s="35"/>
      <c r="H54" s="35"/>
      <c r="I54" s="35"/>
      <c r="J54" s="33">
        <v>27</v>
      </c>
      <c r="K54" s="33"/>
      <c r="L54" s="6"/>
      <c r="M54" s="35"/>
      <c r="N54" s="35"/>
      <c r="O54" s="35"/>
      <c r="P54" s="33">
        <v>41</v>
      </c>
      <c r="Q54" s="33"/>
      <c r="R54" s="6"/>
      <c r="S54" s="35"/>
      <c r="T54" s="35"/>
      <c r="U54" s="35"/>
    </row>
    <row r="55" spans="4:59" ht="28.35" customHeight="1" x14ac:dyDescent="0.25">
      <c r="D55" s="33">
        <v>14</v>
      </c>
      <c r="E55" s="33"/>
      <c r="F55" s="6"/>
      <c r="G55" s="35"/>
      <c r="H55" s="35"/>
      <c r="I55" s="35"/>
      <c r="J55" s="33">
        <v>28</v>
      </c>
      <c r="K55" s="33"/>
      <c r="L55" s="6"/>
      <c r="M55" s="35"/>
      <c r="N55" s="35"/>
      <c r="O55" s="35"/>
      <c r="P55" s="42"/>
      <c r="Q55" s="42"/>
      <c r="R55" s="6"/>
      <c r="S55" s="55"/>
      <c r="T55" s="55"/>
      <c r="U55" s="55"/>
    </row>
    <row r="56" spans="4:59" ht="28.35" customHeight="1" x14ac:dyDescent="0.25"/>
    <row r="57" spans="4:59" ht="28.35" customHeight="1" x14ac:dyDescent="0.25"/>
    <row r="58" spans="4:59" ht="28.35" customHeight="1" x14ac:dyDescent="0.25"/>
    <row r="59" spans="4:59" ht="28.35" customHeight="1" x14ac:dyDescent="0.25"/>
    <row r="60" spans="4:59" ht="28.35" customHeight="1" x14ac:dyDescent="0.25">
      <c r="M60" s="20" t="s">
        <v>174</v>
      </c>
    </row>
    <row r="61" spans="4:59" ht="28.35" customHeight="1" x14ac:dyDescent="0.25"/>
    <row r="62" spans="4:59" ht="28.35" customHeight="1" x14ac:dyDescent="0.25"/>
  </sheetData>
  <sheetProtection algorithmName="SHA-512" hashValue="iTySYVYwUFvmEXxyYf1r7eLoze0WVflrzM1DlDLUsR+wyUuu1mSmweDeZqtzzAsMXAy4AtC8IUkMNzMLjuy96Q==" saltValue="NaQ1mwCjsqz50Dz4JHXrrg==" spinCount="100000" sheet="1" objects="1" scenarios="1" selectLockedCells="1"/>
  <mergeCells count="119">
    <mergeCell ref="D53:E53"/>
    <mergeCell ref="G53:I53"/>
    <mergeCell ref="J53:K53"/>
    <mergeCell ref="M53:O53"/>
    <mergeCell ref="P53:Q53"/>
    <mergeCell ref="S53:U53"/>
    <mergeCell ref="D52:E52"/>
    <mergeCell ref="G52:I52"/>
    <mergeCell ref="J52:K52"/>
    <mergeCell ref="M52:O52"/>
    <mergeCell ref="P52:Q52"/>
    <mergeCell ref="S52:U52"/>
    <mergeCell ref="D55:E55"/>
    <mergeCell ref="G55:I55"/>
    <mergeCell ref="J55:K55"/>
    <mergeCell ref="M55:O55"/>
    <mergeCell ref="P55:Q55"/>
    <mergeCell ref="S55:U55"/>
    <mergeCell ref="D54:E54"/>
    <mergeCell ref="G54:I54"/>
    <mergeCell ref="J54:K54"/>
    <mergeCell ref="M54:O54"/>
    <mergeCell ref="P54:Q54"/>
    <mergeCell ref="S54:U54"/>
    <mergeCell ref="D51:E51"/>
    <mergeCell ref="G51:I51"/>
    <mergeCell ref="J51:K51"/>
    <mergeCell ref="M51:O51"/>
    <mergeCell ref="P51:Q51"/>
    <mergeCell ref="S51:U51"/>
    <mergeCell ref="D50:E50"/>
    <mergeCell ref="G50:I50"/>
    <mergeCell ref="J50:K50"/>
    <mergeCell ref="M50:O50"/>
    <mergeCell ref="P50:Q50"/>
    <mergeCell ref="S50:U50"/>
    <mergeCell ref="D49:E49"/>
    <mergeCell ref="G49:I49"/>
    <mergeCell ref="J49:K49"/>
    <mergeCell ref="M49:O49"/>
    <mergeCell ref="P49:Q49"/>
    <mergeCell ref="S49:U49"/>
    <mergeCell ref="D48:E48"/>
    <mergeCell ref="G48:I48"/>
    <mergeCell ref="J48:K48"/>
    <mergeCell ref="M48:O48"/>
    <mergeCell ref="P48:Q48"/>
    <mergeCell ref="S48:U48"/>
    <mergeCell ref="D47:E47"/>
    <mergeCell ref="G47:I47"/>
    <mergeCell ref="J47:K47"/>
    <mergeCell ref="M47:O47"/>
    <mergeCell ref="P47:Q47"/>
    <mergeCell ref="S47:U47"/>
    <mergeCell ref="D46:E46"/>
    <mergeCell ref="G46:I46"/>
    <mergeCell ref="J46:K46"/>
    <mergeCell ref="M46:O46"/>
    <mergeCell ref="P46:Q46"/>
    <mergeCell ref="S46:U46"/>
    <mergeCell ref="D45:E45"/>
    <mergeCell ref="G45:I45"/>
    <mergeCell ref="J45:K45"/>
    <mergeCell ref="M45:O45"/>
    <mergeCell ref="P45:Q45"/>
    <mergeCell ref="S45:U45"/>
    <mergeCell ref="S42:U42"/>
    <mergeCell ref="S40:U40"/>
    <mergeCell ref="D41:E41"/>
    <mergeCell ref="G41:I41"/>
    <mergeCell ref="J41:K41"/>
    <mergeCell ref="M41:O41"/>
    <mergeCell ref="P41:Q41"/>
    <mergeCell ref="S41:U41"/>
    <mergeCell ref="D44:E44"/>
    <mergeCell ref="G44:I44"/>
    <mergeCell ref="J44:K44"/>
    <mergeCell ref="M44:O44"/>
    <mergeCell ref="P44:Q44"/>
    <mergeCell ref="S44:U44"/>
    <mergeCell ref="D43:E43"/>
    <mergeCell ref="G43:I43"/>
    <mergeCell ref="J43:K43"/>
    <mergeCell ref="M43:O43"/>
    <mergeCell ref="P43:Q43"/>
    <mergeCell ref="S43:U43"/>
    <mergeCell ref="D40:E40"/>
    <mergeCell ref="G40:I40"/>
    <mergeCell ref="J40:K40"/>
    <mergeCell ref="M40:O40"/>
    <mergeCell ref="P40:Q40"/>
    <mergeCell ref="M18:R18"/>
    <mergeCell ref="M19:R19"/>
    <mergeCell ref="E19:L19"/>
    <mergeCell ref="D42:E42"/>
    <mergeCell ref="G42:I42"/>
    <mergeCell ref="J42:K42"/>
    <mergeCell ref="M42:O42"/>
    <mergeCell ref="P42:Q42"/>
    <mergeCell ref="D38:L38"/>
    <mergeCell ref="E20:L20"/>
    <mergeCell ref="M20:R20"/>
    <mergeCell ref="E22:L22"/>
    <mergeCell ref="E18:L18"/>
    <mergeCell ref="AB23:AS26"/>
    <mergeCell ref="E7:L7"/>
    <mergeCell ref="M7:R7"/>
    <mergeCell ref="E9:L9"/>
    <mergeCell ref="E11:L11"/>
    <mergeCell ref="M11:R11"/>
    <mergeCell ref="E12:L12"/>
    <mergeCell ref="M12:R12"/>
    <mergeCell ref="E13:L13"/>
    <mergeCell ref="M13:R13"/>
    <mergeCell ref="E15:L15"/>
    <mergeCell ref="AB10:AS20"/>
    <mergeCell ref="E17:L17"/>
    <mergeCell ref="AB7:AJ7"/>
    <mergeCell ref="E24:V28"/>
  </mergeCells>
  <dataValidations count="6">
    <dataValidation type="list" showInputMessage="1" showErrorMessage="1" errorTitle="Geschlecht" error="Bitte wählen Sie ein gültiges Geschlecht." sqref="M13:R13">
      <formula1>$BA$10:$BA$13</formula1>
    </dataValidation>
    <dataValidation type="list" allowBlank="1" showInputMessage="1" showErrorMessage="1" errorTitle="Rohwert" error="Bitte geben Sie einen gültigen Rohwert ein." sqref="S42:U54">
      <formula1>$BC$10:$BC$15</formula1>
    </dataValidation>
    <dataValidation allowBlank="1" showInputMessage="1" showErrorMessage="1" sqref="M40:M41"/>
    <dataValidation type="date" operator="greaterThan" allowBlank="1" showInputMessage="1" showErrorMessage="1" errorTitle="Datum" error="Bitte geben Sie ein gültiges Datum ein." sqref="M7:R7">
      <formula1>44042</formula1>
    </dataValidation>
    <dataValidation type="list" showInputMessage="1" showErrorMessage="1" sqref="M20:R20">
      <formula1>$BE$10:$BE$35</formula1>
    </dataValidation>
    <dataValidation type="list" allowBlank="1" showInputMessage="1" showErrorMessage="1" errorTitle="Rohwert" error="Bitte geben Sie einen gültigen Rohwert ein." sqref="G42:I55 M42:O55">
      <formula1>$BC$10:$BC$15</formula1>
    </dataValidation>
  </dataValidations>
  <printOptions horizontalCentered="1" verticalCentered="1"/>
  <pageMargins left="0" right="0" top="0" bottom="0" header="0" footer="0"/>
  <pageSetup paperSize="9" scale="90" orientation="portrait" r:id="rId1"/>
  <rowBreaks count="1" manualBreakCount="1">
    <brk id="31" min="1" max="46" man="1"/>
  </rowBreaks>
  <colBreaks count="1" manualBreakCount="1">
    <brk id="24" max="61"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62"/>
  <sheetViews>
    <sheetView showGridLines="0" showRowColHeaders="0" zoomScaleNormal="100" zoomScaleSheetLayoutView="80" workbookViewId="0">
      <selection activeCell="AB10" sqref="AB10:AS20"/>
    </sheetView>
  </sheetViews>
  <sheetFormatPr baseColWidth="10" defaultColWidth="11.42578125" defaultRowHeight="15.75" x14ac:dyDescent="0.25"/>
  <cols>
    <col min="1" max="1" width="4.85546875" style="5" customWidth="1"/>
    <col min="2" max="47" width="4.85546875" style="1" customWidth="1"/>
    <col min="48" max="52" width="11.42578125" style="14"/>
    <col min="53" max="74" width="11.42578125" style="14" hidden="1" customWidth="1"/>
    <col min="75" max="78" width="11.42578125" style="1" hidden="1" customWidth="1"/>
    <col min="79" max="16384" width="11.42578125" style="1"/>
  </cols>
  <sheetData>
    <row r="1" spans="5:74" s="5" customFormat="1" ht="28.35" customHeight="1" x14ac:dyDescent="0.25">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row>
    <row r="2" spans="5:74" ht="28.35" customHeight="1" x14ac:dyDescent="0.25"/>
    <row r="3" spans="5:74" ht="28.35" customHeight="1" x14ac:dyDescent="0.25"/>
    <row r="4" spans="5:74" ht="28.35" customHeight="1" x14ac:dyDescent="0.25"/>
    <row r="5" spans="5:74" ht="28.35" customHeight="1" x14ac:dyDescent="0.25"/>
    <row r="6" spans="5:74" ht="28.35" customHeight="1" x14ac:dyDescent="0.25"/>
    <row r="7" spans="5:74" ht="28.35" customHeight="1" x14ac:dyDescent="0.25">
      <c r="E7" s="37" t="s">
        <v>18</v>
      </c>
      <c r="F7" s="37"/>
      <c r="G7" s="37"/>
      <c r="H7" s="37"/>
      <c r="I7" s="37"/>
      <c r="J7" s="37"/>
      <c r="K7" s="37"/>
      <c r="L7" s="37"/>
      <c r="M7" s="52">
        <v>44130</v>
      </c>
      <c r="N7" s="52"/>
      <c r="O7" s="52"/>
      <c r="P7" s="52"/>
      <c r="Q7" s="52"/>
      <c r="R7" s="52"/>
      <c r="AB7" s="39" t="s">
        <v>49</v>
      </c>
      <c r="AC7" s="39"/>
      <c r="AD7" s="39"/>
      <c r="AE7" s="39"/>
      <c r="AF7" s="39"/>
      <c r="AG7" s="39"/>
      <c r="AH7" s="39"/>
      <c r="AI7" s="39"/>
      <c r="AJ7" s="39"/>
      <c r="BA7" s="14" t="s">
        <v>35</v>
      </c>
    </row>
    <row r="8" spans="5:74" ht="28.35" customHeight="1" x14ac:dyDescent="0.25">
      <c r="AB8" s="16" t="s">
        <v>165</v>
      </c>
    </row>
    <row r="9" spans="5:74" ht="28.35" customHeight="1" x14ac:dyDescent="0.25">
      <c r="E9" s="39" t="s">
        <v>19</v>
      </c>
      <c r="F9" s="39"/>
      <c r="G9" s="39"/>
      <c r="H9" s="39"/>
      <c r="I9" s="39"/>
      <c r="J9" s="39"/>
      <c r="K9" s="39"/>
      <c r="L9" s="39"/>
      <c r="AB9" s="21"/>
      <c r="AC9" s="21"/>
      <c r="AD9" s="21"/>
      <c r="AE9" s="21"/>
      <c r="AF9" s="21"/>
      <c r="AG9" s="21"/>
      <c r="AH9" s="21"/>
      <c r="AI9" s="21"/>
      <c r="AJ9" s="21"/>
      <c r="AK9" s="21"/>
      <c r="AL9" s="21"/>
      <c r="AM9" s="21"/>
      <c r="AN9" s="21"/>
      <c r="AO9" s="21"/>
      <c r="AP9" s="21"/>
      <c r="AQ9" s="21"/>
      <c r="AR9" s="21"/>
      <c r="AS9" s="21"/>
      <c r="BA9" s="14" t="s">
        <v>21</v>
      </c>
      <c r="BC9" s="14" t="s">
        <v>17</v>
      </c>
    </row>
    <row r="10" spans="5:74" ht="28.35" customHeight="1" x14ac:dyDescent="0.25">
      <c r="AB10" s="43" t="s">
        <v>182</v>
      </c>
      <c r="AC10" s="44"/>
      <c r="AD10" s="44"/>
      <c r="AE10" s="44"/>
      <c r="AF10" s="44"/>
      <c r="AG10" s="44"/>
      <c r="AH10" s="44"/>
      <c r="AI10" s="44"/>
      <c r="AJ10" s="44"/>
      <c r="AK10" s="44"/>
      <c r="AL10" s="44"/>
      <c r="AM10" s="44"/>
      <c r="AN10" s="44"/>
      <c r="AO10" s="44"/>
      <c r="AP10" s="44"/>
      <c r="AQ10" s="44"/>
      <c r="AR10" s="44"/>
      <c r="AS10" s="45"/>
      <c r="BA10" s="14" t="s">
        <v>16</v>
      </c>
      <c r="BC10" s="14" t="s">
        <v>16</v>
      </c>
    </row>
    <row r="11" spans="5:74" ht="28.35" customHeight="1" x14ac:dyDescent="0.25">
      <c r="E11" s="53" t="s">
        <v>20</v>
      </c>
      <c r="F11" s="53"/>
      <c r="G11" s="53"/>
      <c r="H11" s="53"/>
      <c r="I11" s="53"/>
      <c r="J11" s="53"/>
      <c r="K11" s="53"/>
      <c r="L11" s="53"/>
      <c r="M11" s="54" t="s">
        <v>176</v>
      </c>
      <c r="N11" s="54"/>
      <c r="O11" s="54"/>
      <c r="P11" s="54"/>
      <c r="Q11" s="54"/>
      <c r="R11" s="54"/>
      <c r="AB11" s="46"/>
      <c r="AC11" s="47"/>
      <c r="AD11" s="47"/>
      <c r="AE11" s="47"/>
      <c r="AF11" s="47"/>
      <c r="AG11" s="47"/>
      <c r="AH11" s="47"/>
      <c r="AI11" s="47"/>
      <c r="AJ11" s="47"/>
      <c r="AK11" s="47"/>
      <c r="AL11" s="47"/>
      <c r="AM11" s="47"/>
      <c r="AN11" s="47"/>
      <c r="AO11" s="47"/>
      <c r="AP11" s="47"/>
      <c r="AQ11" s="47"/>
      <c r="AR11" s="47"/>
      <c r="AS11" s="48"/>
      <c r="BA11" s="14" t="s">
        <v>36</v>
      </c>
      <c r="BC11" s="14">
        <v>1</v>
      </c>
    </row>
    <row r="12" spans="5:74" ht="28.35" customHeight="1" x14ac:dyDescent="0.25">
      <c r="E12" s="37" t="s">
        <v>30</v>
      </c>
      <c r="F12" s="37"/>
      <c r="G12" s="37"/>
      <c r="H12" s="37"/>
      <c r="I12" s="37"/>
      <c r="J12" s="37"/>
      <c r="K12" s="37"/>
      <c r="L12" s="37"/>
      <c r="M12" s="38">
        <v>19</v>
      </c>
      <c r="N12" s="38"/>
      <c r="O12" s="38"/>
      <c r="P12" s="38"/>
      <c r="Q12" s="38"/>
      <c r="R12" s="38"/>
      <c r="AB12" s="46"/>
      <c r="AC12" s="47"/>
      <c r="AD12" s="47"/>
      <c r="AE12" s="47"/>
      <c r="AF12" s="47"/>
      <c r="AG12" s="47"/>
      <c r="AH12" s="47"/>
      <c r="AI12" s="47"/>
      <c r="AJ12" s="47"/>
      <c r="AK12" s="47"/>
      <c r="AL12" s="47"/>
      <c r="AM12" s="47"/>
      <c r="AN12" s="47"/>
      <c r="AO12" s="47"/>
      <c r="AP12" s="47"/>
      <c r="AQ12" s="47"/>
      <c r="AR12" s="47"/>
      <c r="AS12" s="48"/>
      <c r="BA12" s="14" t="s">
        <v>37</v>
      </c>
      <c r="BC12" s="14">
        <v>2</v>
      </c>
    </row>
    <row r="13" spans="5:74" ht="28.35" customHeight="1" x14ac:dyDescent="0.25">
      <c r="E13" s="37" t="s">
        <v>31</v>
      </c>
      <c r="F13" s="37"/>
      <c r="G13" s="37"/>
      <c r="H13" s="37"/>
      <c r="I13" s="37"/>
      <c r="J13" s="37"/>
      <c r="K13" s="37"/>
      <c r="L13" s="37"/>
      <c r="M13" s="38" t="s">
        <v>37</v>
      </c>
      <c r="N13" s="38"/>
      <c r="O13" s="38"/>
      <c r="P13" s="38"/>
      <c r="Q13" s="38"/>
      <c r="R13" s="38"/>
      <c r="AB13" s="46"/>
      <c r="AC13" s="47"/>
      <c r="AD13" s="47"/>
      <c r="AE13" s="47"/>
      <c r="AF13" s="47"/>
      <c r="AG13" s="47"/>
      <c r="AH13" s="47"/>
      <c r="AI13" s="47"/>
      <c r="AJ13" s="47"/>
      <c r="AK13" s="47"/>
      <c r="AL13" s="47"/>
      <c r="AM13" s="47"/>
      <c r="AN13" s="47"/>
      <c r="AO13" s="47"/>
      <c r="AP13" s="47"/>
      <c r="AQ13" s="47"/>
      <c r="AR13" s="47"/>
      <c r="AS13" s="48"/>
      <c r="BA13" s="14" t="s">
        <v>38</v>
      </c>
      <c r="BC13" s="14">
        <v>3</v>
      </c>
    </row>
    <row r="14" spans="5:74" ht="28.35" customHeight="1" x14ac:dyDescent="0.25">
      <c r="E14" s="10"/>
      <c r="F14" s="10"/>
      <c r="G14" s="10"/>
      <c r="H14" s="10"/>
      <c r="I14" s="10"/>
      <c r="J14" s="10"/>
      <c r="K14" s="10"/>
      <c r="L14" s="10"/>
      <c r="M14" s="11"/>
      <c r="N14" s="11"/>
      <c r="O14" s="11"/>
      <c r="P14" s="11"/>
      <c r="Q14" s="11"/>
      <c r="R14" s="11"/>
      <c r="AB14" s="46"/>
      <c r="AC14" s="47"/>
      <c r="AD14" s="47"/>
      <c r="AE14" s="47"/>
      <c r="AF14" s="47"/>
      <c r="AG14" s="47"/>
      <c r="AH14" s="47"/>
      <c r="AI14" s="47"/>
      <c r="AJ14" s="47"/>
      <c r="AK14" s="47"/>
      <c r="AL14" s="47"/>
      <c r="AM14" s="47"/>
      <c r="AN14" s="47"/>
      <c r="AO14" s="47"/>
      <c r="AP14" s="47"/>
      <c r="AQ14" s="47"/>
      <c r="AR14" s="47"/>
      <c r="AS14" s="48"/>
      <c r="BC14" s="14">
        <v>4</v>
      </c>
    </row>
    <row r="15" spans="5:74" ht="28.35" customHeight="1" x14ac:dyDescent="0.25">
      <c r="E15" s="56" t="s">
        <v>168</v>
      </c>
      <c r="F15" s="56"/>
      <c r="G15" s="56"/>
      <c r="H15" s="56"/>
      <c r="I15" s="56"/>
      <c r="J15" s="56"/>
      <c r="K15" s="56"/>
      <c r="L15" s="56"/>
      <c r="M15" s="11"/>
      <c r="N15" s="11"/>
      <c r="O15" s="11"/>
      <c r="P15" s="11"/>
      <c r="Q15" s="11"/>
      <c r="R15" s="11"/>
      <c r="S15" s="3"/>
      <c r="T15" s="3"/>
      <c r="AB15" s="46"/>
      <c r="AC15" s="47"/>
      <c r="AD15" s="47"/>
      <c r="AE15" s="47"/>
      <c r="AF15" s="47"/>
      <c r="AG15" s="47"/>
      <c r="AH15" s="47"/>
      <c r="AI15" s="47"/>
      <c r="AJ15" s="47"/>
      <c r="AK15" s="47"/>
      <c r="AL15" s="47"/>
      <c r="AM15" s="47"/>
      <c r="AN15" s="47"/>
      <c r="AO15" s="47"/>
      <c r="AP15" s="47"/>
      <c r="AQ15" s="47"/>
      <c r="AR15" s="47"/>
      <c r="AS15" s="48"/>
      <c r="BC15" s="14">
        <v>5</v>
      </c>
    </row>
    <row r="16" spans="5:74" ht="28.35" customHeight="1" x14ac:dyDescent="0.25">
      <c r="E16" s="17"/>
      <c r="F16" s="17"/>
      <c r="G16" s="17"/>
      <c r="H16" s="17"/>
      <c r="I16" s="17"/>
      <c r="J16" s="17"/>
      <c r="K16" s="17"/>
      <c r="L16" s="17"/>
      <c r="M16" s="17"/>
      <c r="N16" s="17"/>
      <c r="O16" s="17"/>
      <c r="P16" s="17"/>
      <c r="Q16" s="17"/>
      <c r="R16" s="17"/>
      <c r="S16" s="17"/>
      <c r="T16" s="17"/>
      <c r="U16" s="17"/>
      <c r="V16" s="17"/>
      <c r="AB16" s="46"/>
      <c r="AC16" s="47"/>
      <c r="AD16" s="47"/>
      <c r="AE16" s="47"/>
      <c r="AF16" s="47"/>
      <c r="AG16" s="47"/>
      <c r="AH16" s="47"/>
      <c r="AI16" s="47"/>
      <c r="AJ16" s="47"/>
      <c r="AK16" s="47"/>
      <c r="AL16" s="47"/>
      <c r="AM16" s="47"/>
      <c r="AN16" s="47"/>
      <c r="AO16" s="47"/>
      <c r="AP16" s="47"/>
      <c r="AQ16" s="47"/>
      <c r="AR16" s="47"/>
      <c r="AS16" s="48"/>
    </row>
    <row r="17" spans="5:74" ht="28.35" customHeight="1" x14ac:dyDescent="0.25">
      <c r="E17" s="34" t="s">
        <v>212</v>
      </c>
      <c r="F17" s="34"/>
      <c r="G17" s="34"/>
      <c r="H17" s="34"/>
      <c r="I17" s="34"/>
      <c r="J17" s="34"/>
      <c r="K17" s="34"/>
      <c r="L17" s="34"/>
      <c r="M17" s="34"/>
      <c r="N17" s="34"/>
      <c r="O17" s="34"/>
      <c r="P17" s="34"/>
      <c r="Q17" s="34"/>
      <c r="R17" s="34"/>
      <c r="S17" s="34"/>
      <c r="T17" s="34"/>
      <c r="U17" s="34"/>
      <c r="V17" s="34"/>
      <c r="AB17" s="46"/>
      <c r="AC17" s="47"/>
      <c r="AD17" s="47"/>
      <c r="AE17" s="47"/>
      <c r="AF17" s="47"/>
      <c r="AG17" s="47"/>
      <c r="AH17" s="47"/>
      <c r="AI17" s="47"/>
      <c r="AJ17" s="47"/>
      <c r="AK17" s="47"/>
      <c r="AL17" s="47"/>
      <c r="AM17" s="47"/>
      <c r="AN17" s="47"/>
      <c r="AO17" s="47"/>
      <c r="AP17" s="47"/>
      <c r="AQ17" s="47"/>
      <c r="AR17" s="47"/>
      <c r="AS17" s="48"/>
    </row>
    <row r="18" spans="5:74" ht="28.35" customHeight="1" x14ac:dyDescent="0.25">
      <c r="E18" s="34"/>
      <c r="F18" s="34"/>
      <c r="G18" s="34"/>
      <c r="H18" s="34"/>
      <c r="I18" s="34"/>
      <c r="J18" s="34"/>
      <c r="K18" s="34"/>
      <c r="L18" s="34"/>
      <c r="M18" s="34"/>
      <c r="N18" s="34"/>
      <c r="O18" s="34"/>
      <c r="P18" s="34"/>
      <c r="Q18" s="34"/>
      <c r="R18" s="34"/>
      <c r="S18" s="34"/>
      <c r="T18" s="34"/>
      <c r="U18" s="34"/>
      <c r="V18" s="34"/>
      <c r="AB18" s="46"/>
      <c r="AC18" s="47"/>
      <c r="AD18" s="47"/>
      <c r="AE18" s="47"/>
      <c r="AF18" s="47"/>
      <c r="AG18" s="47"/>
      <c r="AH18" s="47"/>
      <c r="AI18" s="47"/>
      <c r="AJ18" s="47"/>
      <c r="AK18" s="47"/>
      <c r="AL18" s="47"/>
      <c r="AM18" s="47"/>
      <c r="AN18" s="47"/>
      <c r="AO18" s="47"/>
      <c r="AP18" s="47"/>
      <c r="AQ18" s="47"/>
      <c r="AR18" s="47"/>
      <c r="AS18" s="48"/>
    </row>
    <row r="19" spans="5:74" ht="28.35" customHeight="1" x14ac:dyDescent="0.25">
      <c r="E19" s="34"/>
      <c r="F19" s="34"/>
      <c r="G19" s="34"/>
      <c r="H19" s="34"/>
      <c r="I19" s="34"/>
      <c r="J19" s="34"/>
      <c r="K19" s="34"/>
      <c r="L19" s="34"/>
      <c r="M19" s="34"/>
      <c r="N19" s="34"/>
      <c r="O19" s="34"/>
      <c r="P19" s="34"/>
      <c r="Q19" s="34"/>
      <c r="R19" s="34"/>
      <c r="S19" s="34"/>
      <c r="T19" s="34"/>
      <c r="U19" s="34"/>
      <c r="V19" s="34"/>
      <c r="AB19" s="46"/>
      <c r="AC19" s="47"/>
      <c r="AD19" s="47"/>
      <c r="AE19" s="47"/>
      <c r="AF19" s="47"/>
      <c r="AG19" s="47"/>
      <c r="AH19" s="47"/>
      <c r="AI19" s="47"/>
      <c r="AJ19" s="47"/>
      <c r="AK19" s="47"/>
      <c r="AL19" s="47"/>
      <c r="AM19" s="47"/>
      <c r="AN19" s="47"/>
      <c r="AO19" s="47"/>
      <c r="AP19" s="47"/>
      <c r="AQ19" s="47"/>
      <c r="AR19" s="47"/>
      <c r="AS19" s="48"/>
    </row>
    <row r="20" spans="5:74" ht="28.35" customHeight="1" x14ac:dyDescent="0.25">
      <c r="E20" s="34"/>
      <c r="F20" s="34"/>
      <c r="G20" s="34"/>
      <c r="H20" s="34"/>
      <c r="I20" s="34"/>
      <c r="J20" s="34"/>
      <c r="K20" s="34"/>
      <c r="L20" s="34"/>
      <c r="M20" s="34"/>
      <c r="N20" s="34"/>
      <c r="O20" s="34"/>
      <c r="P20" s="34"/>
      <c r="Q20" s="34"/>
      <c r="R20" s="34"/>
      <c r="S20" s="34"/>
      <c r="T20" s="34"/>
      <c r="U20" s="34"/>
      <c r="V20" s="34"/>
      <c r="AB20" s="49"/>
      <c r="AC20" s="50"/>
      <c r="AD20" s="50"/>
      <c r="AE20" s="50"/>
      <c r="AF20" s="50"/>
      <c r="AG20" s="50"/>
      <c r="AH20" s="50"/>
      <c r="AI20" s="50"/>
      <c r="AJ20" s="50"/>
      <c r="AK20" s="50"/>
      <c r="AL20" s="50"/>
      <c r="AM20" s="50"/>
      <c r="AN20" s="50"/>
      <c r="AO20" s="50"/>
      <c r="AP20" s="50"/>
      <c r="AQ20" s="50"/>
      <c r="AR20" s="50"/>
      <c r="AS20" s="51"/>
    </row>
    <row r="21" spans="5:74" ht="28.35" customHeight="1" x14ac:dyDescent="0.25">
      <c r="E21" s="34"/>
      <c r="F21" s="34"/>
      <c r="G21" s="34"/>
      <c r="H21" s="34"/>
      <c r="I21" s="34"/>
      <c r="J21" s="34"/>
      <c r="K21" s="34"/>
      <c r="L21" s="34"/>
      <c r="M21" s="34"/>
      <c r="N21" s="34"/>
      <c r="O21" s="34"/>
      <c r="P21" s="34"/>
      <c r="Q21" s="34"/>
      <c r="R21" s="34"/>
      <c r="S21" s="34"/>
      <c r="T21" s="34"/>
      <c r="U21" s="34"/>
      <c r="V21" s="34"/>
    </row>
    <row r="22" spans="5:74" ht="28.35" customHeight="1" x14ac:dyDescent="0.25">
      <c r="E22" s="10"/>
      <c r="F22" s="10"/>
      <c r="G22" s="10"/>
      <c r="H22" s="10"/>
      <c r="I22" s="10"/>
      <c r="J22" s="10"/>
      <c r="K22" s="10"/>
      <c r="L22" s="10"/>
      <c r="M22" s="11"/>
      <c r="N22" s="11"/>
      <c r="O22" s="11"/>
      <c r="P22" s="11"/>
      <c r="Q22" s="11"/>
      <c r="R22" s="11"/>
      <c r="S22" s="3"/>
      <c r="T22" s="3"/>
    </row>
    <row r="23" spans="5:74" ht="28.35" customHeight="1" x14ac:dyDescent="0.25">
      <c r="E23" s="10"/>
      <c r="F23" s="10"/>
      <c r="G23" s="10"/>
      <c r="H23" s="10"/>
      <c r="I23" s="10"/>
      <c r="J23" s="10"/>
      <c r="K23" s="10"/>
      <c r="L23" s="10"/>
      <c r="M23" s="11"/>
      <c r="N23" s="11"/>
      <c r="O23" s="11"/>
      <c r="P23" s="11"/>
      <c r="Q23" s="11"/>
      <c r="R23" s="11"/>
      <c r="S23" s="3"/>
      <c r="T23" s="3"/>
    </row>
    <row r="24" spans="5:74" ht="28.35" customHeight="1" x14ac:dyDescent="0.25">
      <c r="E24" s="10"/>
      <c r="F24" s="10"/>
      <c r="G24" s="10"/>
      <c r="H24" s="10"/>
      <c r="I24" s="10"/>
      <c r="J24" s="10"/>
      <c r="K24" s="10"/>
      <c r="L24" s="10"/>
      <c r="M24" s="11"/>
      <c r="N24" s="11"/>
      <c r="O24" s="11"/>
      <c r="P24" s="11"/>
      <c r="Q24" s="11"/>
      <c r="R24" s="11"/>
      <c r="S24" s="3"/>
      <c r="T24" s="3"/>
    </row>
    <row r="25" spans="5:74" ht="28.35" customHeight="1" x14ac:dyDescent="0.25">
      <c r="E25" s="3"/>
      <c r="F25" s="3"/>
      <c r="G25" s="3"/>
      <c r="H25" s="3"/>
      <c r="I25" s="3"/>
      <c r="J25" s="3"/>
      <c r="K25" s="3"/>
      <c r="L25" s="3"/>
      <c r="M25" s="3"/>
      <c r="N25" s="3"/>
      <c r="O25" s="3"/>
      <c r="P25" s="3"/>
      <c r="Q25" s="3"/>
      <c r="R25" s="3"/>
      <c r="S25" s="3"/>
      <c r="T25" s="3"/>
    </row>
    <row r="26" spans="5:74" ht="28.35" customHeight="1" x14ac:dyDescent="0.25">
      <c r="E26" s="3"/>
      <c r="F26" s="3"/>
      <c r="G26" s="3"/>
      <c r="H26" s="3"/>
      <c r="I26" s="3"/>
      <c r="J26" s="3"/>
      <c r="K26" s="3"/>
      <c r="L26" s="3"/>
      <c r="M26" s="3"/>
      <c r="N26" s="3"/>
      <c r="O26" s="3"/>
      <c r="P26" s="3"/>
      <c r="Q26" s="3"/>
      <c r="R26" s="3"/>
      <c r="S26" s="3"/>
      <c r="T26" s="3"/>
    </row>
    <row r="27" spans="5:74" ht="28.35" customHeight="1" x14ac:dyDescent="0.25">
      <c r="AN27" s="4"/>
      <c r="AO27" s="4"/>
      <c r="AP27" s="4"/>
      <c r="AQ27" s="4"/>
      <c r="AR27" s="4"/>
      <c r="AS27" s="4"/>
    </row>
    <row r="28" spans="5:74" ht="28.35" customHeight="1" x14ac:dyDescent="0.25"/>
    <row r="29" spans="5:74" ht="28.35" customHeight="1" x14ac:dyDescent="0.25">
      <c r="M29" s="20" t="s">
        <v>173</v>
      </c>
      <c r="AJ29" s="20" t="s">
        <v>175</v>
      </c>
    </row>
    <row r="30" spans="5:74" ht="28.35" customHeight="1" x14ac:dyDescent="0.25"/>
    <row r="31" spans="5:74" ht="28.35" customHeight="1" x14ac:dyDescent="0.25"/>
    <row r="32" spans="5:74" s="5" customFormat="1" ht="28.35" customHeight="1" x14ac:dyDescent="0.25">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row>
    <row r="33" spans="4:65" ht="28.35" customHeight="1" x14ac:dyDescent="0.25"/>
    <row r="34" spans="4:65" ht="28.35" customHeight="1" x14ac:dyDescent="0.25"/>
    <row r="35" spans="4:65" ht="28.35" customHeight="1" x14ac:dyDescent="0.25"/>
    <row r="36" spans="4:65" ht="28.35" customHeight="1" x14ac:dyDescent="0.25"/>
    <row r="37" spans="4:65" ht="28.35" customHeight="1" x14ac:dyDescent="0.25"/>
    <row r="38" spans="4:65" ht="28.35" customHeight="1" x14ac:dyDescent="0.25">
      <c r="D38" s="39" t="s">
        <v>59</v>
      </c>
      <c r="E38" s="39"/>
      <c r="F38" s="39"/>
      <c r="G38" s="39"/>
      <c r="H38" s="39"/>
      <c r="I38" s="39"/>
      <c r="J38" s="39"/>
      <c r="K38" s="39"/>
      <c r="L38" s="39"/>
      <c r="AA38" s="9"/>
      <c r="AB38" s="9"/>
      <c r="AC38" s="9"/>
      <c r="AD38" s="9"/>
      <c r="AE38" s="9"/>
      <c r="AF38" s="9"/>
      <c r="AG38" s="9"/>
      <c r="AH38" s="9"/>
    </row>
    <row r="39" spans="4:65" ht="28.35" customHeight="1" x14ac:dyDescent="0.25"/>
    <row r="40" spans="4:65" ht="28.35" customHeight="1" x14ac:dyDescent="0.25">
      <c r="D40" s="58" t="s">
        <v>42</v>
      </c>
      <c r="E40" s="58"/>
      <c r="F40" s="2"/>
      <c r="G40" s="36" t="s">
        <v>15</v>
      </c>
      <c r="H40" s="36"/>
      <c r="I40" s="36"/>
      <c r="J40" s="36"/>
      <c r="K40" s="36"/>
      <c r="L40" s="36"/>
      <c r="M40" s="33" t="s">
        <v>46</v>
      </c>
      <c r="N40" s="33"/>
      <c r="O40" s="2"/>
      <c r="P40" s="36" t="s">
        <v>15</v>
      </c>
      <c r="Q40" s="36"/>
      <c r="R40" s="36"/>
      <c r="S40" s="36"/>
      <c r="T40" s="36"/>
      <c r="U40" s="36"/>
      <c r="BA40" s="14" t="s">
        <v>2</v>
      </c>
      <c r="BB40" s="14" t="s">
        <v>1</v>
      </c>
      <c r="BC40" s="14" t="s">
        <v>44</v>
      </c>
      <c r="BD40" s="14">
        <v>1</v>
      </c>
      <c r="BE40" s="14">
        <v>2</v>
      </c>
      <c r="BF40" s="14">
        <v>3</v>
      </c>
      <c r="BG40" s="14">
        <v>4</v>
      </c>
      <c r="BH40" s="14">
        <v>5</v>
      </c>
      <c r="BI40" s="14">
        <v>6</v>
      </c>
      <c r="BJ40" s="14">
        <v>7</v>
      </c>
      <c r="BK40" s="14">
        <v>8</v>
      </c>
      <c r="BL40" s="14">
        <v>9</v>
      </c>
      <c r="BM40" s="14">
        <v>10</v>
      </c>
    </row>
    <row r="41" spans="4:65" ht="28.35" customHeight="1" x14ac:dyDescent="0.25">
      <c r="D41" s="40" t="s">
        <v>0</v>
      </c>
      <c r="E41" s="40"/>
      <c r="F41" s="2"/>
      <c r="G41" s="62"/>
      <c r="H41" s="63"/>
      <c r="I41" s="63"/>
      <c r="J41" s="63"/>
      <c r="K41" s="63"/>
      <c r="L41" s="64"/>
      <c r="M41" s="40" t="s">
        <v>0</v>
      </c>
      <c r="N41" s="40"/>
      <c r="O41" s="2"/>
      <c r="P41" s="62"/>
      <c r="Q41" s="63"/>
      <c r="R41" s="63"/>
      <c r="S41" s="63"/>
      <c r="T41" s="63"/>
      <c r="U41" s="64"/>
      <c r="BA41" s="14" t="s">
        <v>3</v>
      </c>
      <c r="BB41" s="14">
        <f>SUM(BD41:BM41)</f>
        <v>0</v>
      </c>
      <c r="BC41" s="14">
        <f>COUNTIF(G42:G43,"")+COUNTIF(G42:G43,"-")+COUNTIF(G46:G47,"")+COUNTIF(G46:G47,"-")+COUNTIF(G50:G51,"")+COUNTIF(G50:G51,"-")+COUNTIF(P42:P43,"")+COUNTIF(P42:P43,"-")+COUNTIF(P46:P47,"")+COUNTIF(P46:P47,"-")</f>
        <v>10</v>
      </c>
      <c r="BD41" s="14">
        <f>IF(G42=3,1,0)</f>
        <v>0</v>
      </c>
      <c r="BE41" s="14">
        <f>IF(G43=4,1,0)</f>
        <v>0</v>
      </c>
      <c r="BF41" s="14">
        <f>IF(G46=2,1,0)</f>
        <v>0</v>
      </c>
      <c r="BG41" s="14">
        <f>IF(G47=1,1,0)</f>
        <v>0</v>
      </c>
      <c r="BH41" s="14">
        <f>IF(G50=4,1,0)</f>
        <v>0</v>
      </c>
      <c r="BI41" s="14">
        <f>IF(G51=3,1,0)</f>
        <v>0</v>
      </c>
      <c r="BJ41" s="14">
        <f>IF(P42=3,1,0)</f>
        <v>0</v>
      </c>
      <c r="BK41" s="14">
        <f>IF(P43=3,1,0)</f>
        <v>0</v>
      </c>
      <c r="BL41" s="14">
        <f>IF(P46=2,1,0)</f>
        <v>0</v>
      </c>
      <c r="BM41" s="14">
        <f>IF(P47=3,1,0)</f>
        <v>0</v>
      </c>
    </row>
    <row r="42" spans="4:65" ht="28.35" customHeight="1" x14ac:dyDescent="0.25">
      <c r="D42" s="33">
        <v>1</v>
      </c>
      <c r="E42" s="33"/>
      <c r="F42" s="2"/>
      <c r="G42" s="65"/>
      <c r="H42" s="66"/>
      <c r="I42" s="66"/>
      <c r="J42" s="66"/>
      <c r="K42" s="66"/>
      <c r="L42" s="67"/>
      <c r="M42" s="33">
        <v>7</v>
      </c>
      <c r="N42" s="33"/>
      <c r="O42" s="2"/>
      <c r="P42" s="59"/>
      <c r="Q42" s="59"/>
      <c r="R42" s="59"/>
      <c r="S42" s="59"/>
      <c r="T42" s="59"/>
      <c r="U42" s="59"/>
    </row>
    <row r="43" spans="4:65" ht="28.35" customHeight="1" x14ac:dyDescent="0.25">
      <c r="D43" s="33">
        <v>2</v>
      </c>
      <c r="E43" s="33"/>
      <c r="F43" s="2"/>
      <c r="G43" s="59"/>
      <c r="H43" s="59"/>
      <c r="I43" s="59"/>
      <c r="J43" s="59"/>
      <c r="K43" s="59"/>
      <c r="L43" s="59"/>
      <c r="M43" s="33">
        <v>8</v>
      </c>
      <c r="N43" s="33"/>
      <c r="O43" s="2"/>
      <c r="P43" s="59"/>
      <c r="Q43" s="59"/>
      <c r="R43" s="59"/>
      <c r="S43" s="59"/>
      <c r="T43" s="59"/>
      <c r="U43" s="59"/>
    </row>
    <row r="44" spans="4:65" ht="28.35" customHeight="1" x14ac:dyDescent="0.25">
      <c r="D44" s="33" t="s">
        <v>43</v>
      </c>
      <c r="E44" s="33"/>
      <c r="F44" s="2"/>
      <c r="G44" s="70"/>
      <c r="H44" s="71"/>
      <c r="I44" s="71"/>
      <c r="J44" s="71"/>
      <c r="K44" s="71"/>
      <c r="L44" s="72"/>
      <c r="M44" s="33" t="s">
        <v>47</v>
      </c>
      <c r="N44" s="33"/>
      <c r="O44" s="2"/>
      <c r="P44" s="70"/>
      <c r="Q44" s="71"/>
      <c r="R44" s="71"/>
      <c r="S44" s="71"/>
      <c r="T44" s="71"/>
      <c r="U44" s="72"/>
    </row>
    <row r="45" spans="4:65" ht="28.35" customHeight="1" x14ac:dyDescent="0.25">
      <c r="D45" s="40" t="s">
        <v>0</v>
      </c>
      <c r="E45" s="40"/>
      <c r="F45" s="2"/>
      <c r="G45" s="62"/>
      <c r="H45" s="63"/>
      <c r="I45" s="63"/>
      <c r="J45" s="63"/>
      <c r="K45" s="63"/>
      <c r="L45" s="64"/>
      <c r="M45" s="40" t="s">
        <v>0</v>
      </c>
      <c r="N45" s="40"/>
      <c r="O45" s="2"/>
      <c r="P45" s="62"/>
      <c r="Q45" s="63"/>
      <c r="R45" s="63"/>
      <c r="S45" s="63"/>
      <c r="T45" s="63"/>
      <c r="U45" s="64"/>
    </row>
    <row r="46" spans="4:65" ht="28.35" customHeight="1" x14ac:dyDescent="0.25">
      <c r="D46" s="33">
        <v>3</v>
      </c>
      <c r="E46" s="33"/>
      <c r="F46" s="2"/>
      <c r="G46" s="59"/>
      <c r="H46" s="59"/>
      <c r="I46" s="59"/>
      <c r="J46" s="59"/>
      <c r="K46" s="59"/>
      <c r="L46" s="59"/>
      <c r="M46" s="33">
        <v>9</v>
      </c>
      <c r="N46" s="33"/>
      <c r="O46" s="2"/>
      <c r="P46" s="59"/>
      <c r="Q46" s="59"/>
      <c r="R46" s="59"/>
      <c r="S46" s="59"/>
      <c r="T46" s="59"/>
      <c r="U46" s="59"/>
    </row>
    <row r="47" spans="4:65" ht="28.35" customHeight="1" x14ac:dyDescent="0.25">
      <c r="D47" s="33">
        <v>4</v>
      </c>
      <c r="E47" s="33"/>
      <c r="F47" s="2"/>
      <c r="G47" s="59"/>
      <c r="H47" s="59"/>
      <c r="I47" s="59"/>
      <c r="J47" s="59"/>
      <c r="K47" s="59"/>
      <c r="L47" s="59"/>
      <c r="M47" s="33">
        <v>10</v>
      </c>
      <c r="N47" s="33"/>
      <c r="O47" s="2"/>
      <c r="P47" s="59"/>
      <c r="Q47" s="59"/>
      <c r="R47" s="59"/>
      <c r="S47" s="59"/>
      <c r="T47" s="59"/>
      <c r="U47" s="59"/>
    </row>
    <row r="48" spans="4:65" ht="28.35" customHeight="1" x14ac:dyDescent="0.25">
      <c r="D48" s="60" t="s">
        <v>45</v>
      </c>
      <c r="E48" s="61"/>
      <c r="F48" s="2"/>
      <c r="G48" s="70"/>
      <c r="H48" s="71"/>
      <c r="I48" s="71"/>
      <c r="J48" s="71"/>
      <c r="K48" s="71"/>
      <c r="L48" s="72"/>
      <c r="M48" s="68"/>
      <c r="N48" s="69"/>
      <c r="O48" s="2"/>
      <c r="P48" s="73"/>
      <c r="Q48" s="74"/>
      <c r="R48" s="74"/>
      <c r="S48" s="74"/>
      <c r="T48" s="74"/>
      <c r="U48" s="75"/>
    </row>
    <row r="49" spans="4:27" ht="28.35" customHeight="1" x14ac:dyDescent="0.25">
      <c r="D49" s="40" t="s">
        <v>0</v>
      </c>
      <c r="E49" s="40"/>
      <c r="F49" s="2"/>
      <c r="G49" s="62"/>
      <c r="H49" s="63"/>
      <c r="I49" s="63"/>
      <c r="J49" s="63"/>
      <c r="K49" s="63"/>
      <c r="L49" s="64"/>
      <c r="M49" s="40"/>
      <c r="N49" s="40"/>
      <c r="O49" s="2"/>
      <c r="P49" s="62"/>
      <c r="Q49" s="63"/>
      <c r="R49" s="63"/>
      <c r="S49" s="63"/>
      <c r="T49" s="63"/>
      <c r="U49" s="64"/>
    </row>
    <row r="50" spans="4:27" ht="28.35" customHeight="1" x14ac:dyDescent="0.25">
      <c r="D50" s="33">
        <v>5</v>
      </c>
      <c r="E50" s="33"/>
      <c r="F50" s="2"/>
      <c r="G50" s="59"/>
      <c r="H50" s="59"/>
      <c r="I50" s="59"/>
      <c r="J50" s="59"/>
      <c r="K50" s="59"/>
      <c r="L50" s="59"/>
      <c r="M50" s="68"/>
      <c r="N50" s="69"/>
      <c r="O50" s="2"/>
      <c r="P50" s="73"/>
      <c r="Q50" s="74"/>
      <c r="R50" s="74"/>
      <c r="S50" s="74"/>
      <c r="T50" s="74"/>
      <c r="U50" s="75"/>
    </row>
    <row r="51" spans="4:27" ht="28.35" customHeight="1" x14ac:dyDescent="0.25">
      <c r="D51" s="33">
        <v>6</v>
      </c>
      <c r="E51" s="33"/>
      <c r="F51" s="2"/>
      <c r="G51" s="59"/>
      <c r="H51" s="59"/>
      <c r="I51" s="59"/>
      <c r="J51" s="59"/>
      <c r="K51" s="59"/>
      <c r="L51" s="59"/>
      <c r="M51" s="68"/>
      <c r="N51" s="69"/>
      <c r="O51" s="2"/>
      <c r="P51" s="73"/>
      <c r="Q51" s="74"/>
      <c r="R51" s="74"/>
      <c r="S51" s="74"/>
      <c r="T51" s="74"/>
      <c r="U51" s="75"/>
    </row>
    <row r="52" spans="4:27" ht="28.35" customHeight="1" x14ac:dyDescent="0.25">
      <c r="D52" s="11"/>
      <c r="E52" s="11"/>
      <c r="F52" s="11"/>
      <c r="G52" s="11"/>
      <c r="H52" s="11"/>
      <c r="I52" s="11"/>
      <c r="J52" s="11"/>
      <c r="K52" s="11"/>
      <c r="L52" s="11"/>
      <c r="M52" s="11"/>
      <c r="N52" s="11"/>
      <c r="O52" s="11"/>
      <c r="P52" s="11"/>
      <c r="Q52" s="11"/>
      <c r="R52" s="11"/>
      <c r="S52" s="11"/>
      <c r="T52" s="11"/>
      <c r="U52" s="11"/>
    </row>
    <row r="53" spans="4:27" ht="28.35" customHeight="1" x14ac:dyDescent="0.25">
      <c r="D53" s="11"/>
      <c r="E53" s="11"/>
      <c r="F53" s="11"/>
      <c r="G53" s="11"/>
      <c r="H53" s="11"/>
      <c r="I53" s="11"/>
      <c r="J53" s="11"/>
      <c r="K53" s="11"/>
      <c r="L53" s="11"/>
      <c r="M53" s="11"/>
      <c r="N53" s="11"/>
      <c r="O53" s="11"/>
      <c r="P53" s="11"/>
      <c r="Q53" s="11"/>
      <c r="R53" s="11"/>
      <c r="S53" s="11"/>
      <c r="T53" s="11"/>
      <c r="U53" s="11"/>
    </row>
    <row r="54" spans="4:27" ht="28.35" customHeight="1" x14ac:dyDescent="0.25">
      <c r="D54" s="11"/>
      <c r="E54" s="11"/>
      <c r="F54" s="11"/>
      <c r="G54" s="11"/>
      <c r="H54" s="11"/>
      <c r="I54" s="11"/>
      <c r="J54" s="11"/>
      <c r="K54" s="11"/>
      <c r="L54" s="11"/>
      <c r="M54" s="11"/>
      <c r="N54" s="11"/>
      <c r="O54" s="11"/>
      <c r="P54" s="11"/>
      <c r="Q54" s="11"/>
      <c r="R54" s="11"/>
      <c r="S54" s="11"/>
      <c r="T54" s="11"/>
      <c r="U54" s="11"/>
    </row>
    <row r="55" spans="4:27" ht="28.35" customHeight="1" x14ac:dyDescent="0.25">
      <c r="D55" s="11"/>
      <c r="E55" s="11"/>
      <c r="F55" s="11"/>
      <c r="G55" s="11"/>
      <c r="H55" s="11"/>
      <c r="I55" s="11"/>
      <c r="J55" s="11"/>
      <c r="K55" s="11"/>
      <c r="L55" s="11"/>
      <c r="M55" s="11"/>
      <c r="N55" s="11"/>
      <c r="O55" s="11"/>
      <c r="P55" s="11"/>
      <c r="Q55" s="11"/>
      <c r="R55" s="11"/>
      <c r="S55" s="11"/>
      <c r="T55" s="11"/>
      <c r="U55" s="11"/>
      <c r="AA55" s="5"/>
    </row>
    <row r="56" spans="4:27" ht="28.35" customHeight="1" x14ac:dyDescent="0.25"/>
    <row r="57" spans="4:27" ht="28.35" customHeight="1" x14ac:dyDescent="0.25"/>
    <row r="58" spans="4:27" ht="28.35" customHeight="1" x14ac:dyDescent="0.25"/>
    <row r="59" spans="4:27" ht="28.35" customHeight="1" x14ac:dyDescent="0.25"/>
    <row r="60" spans="4:27" ht="28.35" customHeight="1" x14ac:dyDescent="0.25">
      <c r="M60" s="20" t="s">
        <v>174</v>
      </c>
    </row>
    <row r="61" spans="4:27" ht="28.35" customHeight="1" x14ac:dyDescent="0.25"/>
    <row r="62" spans="4:27" ht="28.35" customHeight="1" x14ac:dyDescent="0.25"/>
  </sheetData>
  <sheetProtection algorithmName="SHA-512" hashValue="zsxj0MQ93XJQh/09nqU8dU7jCyOW3E9kex3P+8Bm+dbp0znYIvoo8qSCqB5pbDMUoCfTdibTl/M40FiqaZK1Tw==" saltValue="wcXQooY6gk6CvqfM37ejlA==" spinCount="100000" sheet="1" objects="1" scenarios="1" selectLockedCells="1"/>
  <mergeCells count="62">
    <mergeCell ref="AB7:AJ7"/>
    <mergeCell ref="D38:L38"/>
    <mergeCell ref="M50:N50"/>
    <mergeCell ref="M51:N51"/>
    <mergeCell ref="P44:U44"/>
    <mergeCell ref="P45:U45"/>
    <mergeCell ref="P48:U48"/>
    <mergeCell ref="P49:U49"/>
    <mergeCell ref="P50:U50"/>
    <mergeCell ref="P51:U51"/>
    <mergeCell ref="P41:U41"/>
    <mergeCell ref="G44:L44"/>
    <mergeCell ref="G45:L45"/>
    <mergeCell ref="G48:L48"/>
    <mergeCell ref="G49:L49"/>
    <mergeCell ref="M44:N44"/>
    <mergeCell ref="M48:N48"/>
    <mergeCell ref="M49:N49"/>
    <mergeCell ref="M45:N45"/>
    <mergeCell ref="M46:N46"/>
    <mergeCell ref="M47:N47"/>
    <mergeCell ref="D48:E48"/>
    <mergeCell ref="G41:L41"/>
    <mergeCell ref="D50:E50"/>
    <mergeCell ref="D51:E51"/>
    <mergeCell ref="G42:L42"/>
    <mergeCell ref="G43:L43"/>
    <mergeCell ref="G46:L46"/>
    <mergeCell ref="G47:L47"/>
    <mergeCell ref="G50:L50"/>
    <mergeCell ref="G51:L51"/>
    <mergeCell ref="D49:E49"/>
    <mergeCell ref="D45:E45"/>
    <mergeCell ref="D46:E46"/>
    <mergeCell ref="D47:E47"/>
    <mergeCell ref="P43:U43"/>
    <mergeCell ref="P46:U46"/>
    <mergeCell ref="P47:U47"/>
    <mergeCell ref="D42:E42"/>
    <mergeCell ref="D43:E43"/>
    <mergeCell ref="M42:N42"/>
    <mergeCell ref="D44:E44"/>
    <mergeCell ref="M43:N43"/>
    <mergeCell ref="E7:L7"/>
    <mergeCell ref="M7:R7"/>
    <mergeCell ref="E9:L9"/>
    <mergeCell ref="P40:U40"/>
    <mergeCell ref="P42:U42"/>
    <mergeCell ref="AB10:AS20"/>
    <mergeCell ref="E15:L15"/>
    <mergeCell ref="M41:N41"/>
    <mergeCell ref="D41:E41"/>
    <mergeCell ref="D40:E40"/>
    <mergeCell ref="G40:L40"/>
    <mergeCell ref="M40:N40"/>
    <mergeCell ref="M13:R13"/>
    <mergeCell ref="E11:L11"/>
    <mergeCell ref="M11:R11"/>
    <mergeCell ref="E12:L12"/>
    <mergeCell ref="M12:R12"/>
    <mergeCell ref="E13:L13"/>
    <mergeCell ref="E17:V21"/>
  </mergeCells>
  <dataValidations count="4">
    <dataValidation type="list" allowBlank="1" showInputMessage="1" showErrorMessage="1" errorTitle="Antwortalternative" error="Bitte wählen Sie eine gültige Anwortalternative." sqref="P46:U47">
      <formula1>$BC$10:$BC$15</formula1>
    </dataValidation>
    <dataValidation type="list" showInputMessage="1" showErrorMessage="1" errorTitle="Geschlecht" error="Bitte wählen Sie ein gültiges Geschlecht." sqref="M13:R13">
      <formula1>$BA$10:$BA$13</formula1>
    </dataValidation>
    <dataValidation type="date" operator="greaterThan" allowBlank="1" showInputMessage="1" showErrorMessage="1" errorTitle="Datum" error="Bitte geben Sie ein gültiges Datum ein." sqref="M7:R7">
      <formula1>44042</formula1>
    </dataValidation>
    <dataValidation type="list" allowBlank="1" showInputMessage="1" showErrorMessage="1" errorTitle="Antwortalternative" error="Bitte wählen Sie eine gültige Anwortalternative." sqref="G42:L43 G46:L47 G50:L51 P42:U43">
      <formula1>$BC$10:$BC$15</formula1>
    </dataValidation>
  </dataValidations>
  <printOptions horizontalCentered="1" verticalCentered="1"/>
  <pageMargins left="0" right="0" top="0" bottom="0" header="0" footer="0"/>
  <pageSetup paperSize="9" scale="90" orientation="portrait" r:id="rId1"/>
  <rowBreaks count="1" manualBreakCount="1">
    <brk id="31" min="1" max="46" man="1"/>
  </rowBreaks>
  <colBreaks count="1" manualBreakCount="1">
    <brk id="24" max="6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62"/>
  <sheetViews>
    <sheetView showGridLines="0" showRowColHeaders="0" zoomScaleNormal="100" workbookViewId="0">
      <selection activeCell="M7" sqref="M7:R7"/>
    </sheetView>
  </sheetViews>
  <sheetFormatPr baseColWidth="10" defaultColWidth="11.42578125" defaultRowHeight="15.75" x14ac:dyDescent="0.25"/>
  <cols>
    <col min="1" max="1" width="4.85546875" style="5" customWidth="1"/>
    <col min="2" max="47" width="4.85546875" style="1" customWidth="1"/>
    <col min="53" max="74" width="11.42578125" hidden="1" customWidth="1"/>
    <col min="75" max="78" width="11.42578125" style="1" hidden="1" customWidth="1"/>
    <col min="79" max="16384" width="11.42578125" style="1"/>
  </cols>
  <sheetData>
    <row r="1" spans="5:74" s="5" customFormat="1" ht="28.35" customHeight="1" x14ac:dyDescent="0.25">
      <c r="AV1"/>
      <c r="AW1"/>
      <c r="AX1"/>
      <c r="AY1"/>
      <c r="AZ1"/>
      <c r="BA1"/>
      <c r="BB1"/>
      <c r="BC1"/>
      <c r="BD1"/>
      <c r="BE1"/>
      <c r="BF1"/>
      <c r="BG1"/>
      <c r="BH1"/>
      <c r="BI1"/>
      <c r="BJ1"/>
      <c r="BK1"/>
      <c r="BL1"/>
      <c r="BM1"/>
      <c r="BN1"/>
      <c r="BO1"/>
      <c r="BP1"/>
      <c r="BQ1"/>
      <c r="BR1"/>
      <c r="BS1"/>
      <c r="BT1"/>
      <c r="BU1"/>
      <c r="BV1"/>
    </row>
    <row r="2" spans="5:74" ht="28.35" customHeight="1" x14ac:dyDescent="0.25"/>
    <row r="3" spans="5:74" ht="28.35" customHeight="1" x14ac:dyDescent="0.25"/>
    <row r="4" spans="5:74" ht="28.35" customHeight="1" x14ac:dyDescent="0.25"/>
    <row r="5" spans="5:74" ht="28.35" customHeight="1" x14ac:dyDescent="0.25"/>
    <row r="6" spans="5:74" ht="28.35" customHeight="1" x14ac:dyDescent="0.25"/>
    <row r="7" spans="5:74" ht="28.35" customHeight="1" x14ac:dyDescent="0.25">
      <c r="E7" s="37" t="s">
        <v>18</v>
      </c>
      <c r="F7" s="37"/>
      <c r="G7" s="37"/>
      <c r="H7" s="37"/>
      <c r="I7" s="37"/>
      <c r="J7" s="37"/>
      <c r="K7" s="37"/>
      <c r="L7" s="37"/>
      <c r="M7" s="52">
        <v>44130</v>
      </c>
      <c r="N7" s="52"/>
      <c r="O7" s="52"/>
      <c r="P7" s="52"/>
      <c r="Q7" s="52"/>
      <c r="R7" s="52"/>
      <c r="AB7" s="39" t="s">
        <v>131</v>
      </c>
      <c r="AC7" s="39"/>
      <c r="AD7" s="39"/>
      <c r="AE7" s="39"/>
      <c r="AF7" s="39"/>
      <c r="AG7" s="39"/>
      <c r="AH7" s="39"/>
      <c r="AI7" s="39"/>
      <c r="AJ7" s="39"/>
      <c r="BA7" t="s">
        <v>35</v>
      </c>
    </row>
    <row r="8" spans="5:74" ht="28.35" customHeight="1" x14ac:dyDescent="0.25"/>
    <row r="9" spans="5:74" ht="28.35" customHeight="1" x14ac:dyDescent="0.25">
      <c r="E9" s="39" t="s">
        <v>19</v>
      </c>
      <c r="F9" s="39"/>
      <c r="G9" s="39"/>
      <c r="H9" s="39"/>
      <c r="I9" s="39"/>
      <c r="J9" s="39"/>
      <c r="K9" s="39"/>
      <c r="L9" s="39"/>
      <c r="AB9" s="37" t="s">
        <v>166</v>
      </c>
      <c r="AC9" s="37"/>
      <c r="AD9" s="37"/>
      <c r="AE9" s="37"/>
      <c r="AF9" s="37"/>
      <c r="AG9" s="37"/>
      <c r="AH9" s="37"/>
      <c r="AI9" s="37"/>
      <c r="AJ9" s="37"/>
      <c r="AK9" s="76" t="s">
        <v>145</v>
      </c>
      <c r="AL9" s="76"/>
      <c r="AM9" s="76"/>
      <c r="AN9" s="76"/>
      <c r="AO9" s="76"/>
      <c r="AP9" s="76"/>
      <c r="BA9" t="s">
        <v>21</v>
      </c>
      <c r="BC9" t="s">
        <v>17</v>
      </c>
      <c r="BE9" t="s">
        <v>29</v>
      </c>
      <c r="BG9" t="s">
        <v>132</v>
      </c>
      <c r="BJ9" t="s">
        <v>157</v>
      </c>
    </row>
    <row r="10" spans="5:74" ht="28.35" customHeight="1" x14ac:dyDescent="0.25">
      <c r="AB10" s="37" t="s">
        <v>167</v>
      </c>
      <c r="AC10" s="37"/>
      <c r="AD10" s="37"/>
      <c r="AE10" s="37"/>
      <c r="AF10" s="37"/>
      <c r="AG10" s="37"/>
      <c r="AH10" s="37"/>
      <c r="AI10" s="37"/>
      <c r="AJ10" s="37"/>
      <c r="AK10" s="76" t="s">
        <v>160</v>
      </c>
      <c r="AL10" s="76"/>
      <c r="AM10" s="76"/>
      <c r="AN10" s="76"/>
      <c r="AO10" s="76"/>
      <c r="AP10" s="76"/>
      <c r="BA10" t="s">
        <v>16</v>
      </c>
      <c r="BC10" t="s">
        <v>16</v>
      </c>
      <c r="BE10" t="s">
        <v>16</v>
      </c>
      <c r="BG10" t="s">
        <v>16</v>
      </c>
      <c r="BJ10" t="s">
        <v>158</v>
      </c>
    </row>
    <row r="11" spans="5:74" ht="28.35" customHeight="1" x14ac:dyDescent="0.25">
      <c r="E11" s="53" t="s">
        <v>20</v>
      </c>
      <c r="F11" s="53"/>
      <c r="G11" s="53"/>
      <c r="H11" s="53"/>
      <c r="I11" s="53"/>
      <c r="J11" s="53"/>
      <c r="K11" s="53"/>
      <c r="L11" s="53"/>
      <c r="M11" s="96" t="str">
        <f>IF('SEC-I-SR Auswertungsbogen'!M11:R11&lt;&gt;"",'SEC-I-SR Auswertungsbogen'!M11:R11,IF('SEC-I-OR Auswertungsbogen'!M11:R11&lt;&gt;"",'SEC-I-OR Auswertungsbogen'!M11:R11,IF('SEC-SJT Auswertungsbogen'!M11:R11&lt;&gt;"",'SEC-SJT Auswertungsbogen'!M11:R11,"")))</f>
        <v>Mustermann, Max</v>
      </c>
      <c r="N11" s="96"/>
      <c r="O11" s="96"/>
      <c r="P11" s="96"/>
      <c r="Q11" s="96"/>
      <c r="R11" s="96"/>
      <c r="BA11" t="s">
        <v>36</v>
      </c>
      <c r="BC11">
        <v>1</v>
      </c>
      <c r="BE11" t="s">
        <v>39</v>
      </c>
      <c r="BG11" t="s">
        <v>142</v>
      </c>
      <c r="BJ11" t="s">
        <v>159</v>
      </c>
    </row>
    <row r="12" spans="5:74" ht="28.35" customHeight="1" x14ac:dyDescent="0.25">
      <c r="E12" s="37" t="s">
        <v>30</v>
      </c>
      <c r="F12" s="37"/>
      <c r="G12" s="37"/>
      <c r="H12" s="37"/>
      <c r="I12" s="37"/>
      <c r="J12" s="37"/>
      <c r="K12" s="37"/>
      <c r="L12" s="37"/>
      <c r="M12" s="97">
        <f>IF('SEC-I-SR Auswertungsbogen'!M12:R12&lt;&gt;"",'SEC-I-SR Auswertungsbogen'!M12:R12,IF('SEC-I-OR Auswertungsbogen'!M12:R12&lt;&gt;"",'SEC-I-OR Auswertungsbogen'!M12:R12,IF('SEC-SJT Auswertungsbogen'!M12:R12&lt;&gt;"",'SEC-SJT Auswertungsbogen'!M12:R12,"")))</f>
        <v>19</v>
      </c>
      <c r="N12" s="97"/>
      <c r="O12" s="97"/>
      <c r="P12" s="97"/>
      <c r="Q12" s="97"/>
      <c r="R12" s="97"/>
      <c r="BA12" t="s">
        <v>37</v>
      </c>
      <c r="BC12">
        <v>2</v>
      </c>
      <c r="BE12" t="s">
        <v>36</v>
      </c>
      <c r="BG12" t="s">
        <v>143</v>
      </c>
      <c r="BJ12" t="s">
        <v>160</v>
      </c>
    </row>
    <row r="13" spans="5:74" ht="28.35" customHeight="1" x14ac:dyDescent="0.25">
      <c r="E13" s="37" t="s">
        <v>31</v>
      </c>
      <c r="F13" s="37"/>
      <c r="G13" s="37"/>
      <c r="H13" s="37"/>
      <c r="I13" s="37"/>
      <c r="J13" s="37"/>
      <c r="K13" s="37"/>
      <c r="L13" s="37"/>
      <c r="M13" s="97" t="str">
        <f>IF(AND('SEC-I-SR Auswertungsbogen'!M13:R13&lt;&gt;"",'SEC-I-SR Auswertungsbogen'!M13:R13&lt;&gt;"-"),'SEC-I-SR Auswertungsbogen'!M13:R13,IF(AND('SEC-I-OR Auswertungsbogen'!M13:R13&lt;&gt;"",'SEC-I-OR Auswertungsbogen'!M13:R13&lt;&gt;"-"),'SEC-I-OR Auswertungsbogen'!M13:R13,IF(AND('SEC-SJT Auswertungsbogen'!M13:R13&lt;&gt;"",'SEC-SJT Auswertungsbogen'!M13:R13&lt;&gt;"-"),'SEC-SJT Auswertungsbogen'!M13:R13,"-")))</f>
        <v>männlich</v>
      </c>
      <c r="N13" s="97"/>
      <c r="O13" s="97"/>
      <c r="P13" s="97"/>
      <c r="Q13" s="97"/>
      <c r="R13" s="97"/>
      <c r="BA13" t="s">
        <v>38</v>
      </c>
      <c r="BC13">
        <v>3</v>
      </c>
      <c r="BE13" t="s">
        <v>37</v>
      </c>
      <c r="BG13" t="s">
        <v>145</v>
      </c>
    </row>
    <row r="14" spans="5:74" ht="28.35" customHeight="1" x14ac:dyDescent="0.25">
      <c r="E14" s="37" t="s">
        <v>32</v>
      </c>
      <c r="F14" s="37"/>
      <c r="G14" s="37"/>
      <c r="H14" s="37"/>
      <c r="I14" s="37"/>
      <c r="J14" s="37"/>
      <c r="K14" s="37"/>
      <c r="L14" s="37"/>
      <c r="M14" s="98">
        <f>IF('SEC-SJT Auswertungsbogen'!M7:R7&lt;&gt;"",'SEC-SJT Auswertungsbogen'!M7:R7,"")</f>
        <v>44130</v>
      </c>
      <c r="N14" s="98"/>
      <c r="O14" s="98"/>
      <c r="P14" s="98"/>
      <c r="Q14" s="98"/>
      <c r="R14" s="98"/>
      <c r="BC14">
        <v>4</v>
      </c>
      <c r="BG14" t="s">
        <v>141</v>
      </c>
    </row>
    <row r="15" spans="5:74" ht="28.35" customHeight="1" x14ac:dyDescent="0.25">
      <c r="E15" s="37" t="s">
        <v>33</v>
      </c>
      <c r="F15" s="37"/>
      <c r="G15" s="37"/>
      <c r="H15" s="37"/>
      <c r="I15" s="37"/>
      <c r="J15" s="37"/>
      <c r="K15" s="37"/>
      <c r="L15" s="37"/>
      <c r="M15" s="98">
        <f>IF('SEC-I-SR Auswertungsbogen'!M7:R7&lt;&gt;"",'SEC-SJT Auswertungsbogen'!M7:R7,"")</f>
        <v>44130</v>
      </c>
      <c r="N15" s="98"/>
      <c r="O15" s="98"/>
      <c r="P15" s="98"/>
      <c r="Q15" s="98"/>
      <c r="R15" s="98"/>
      <c r="BC15">
        <v>5</v>
      </c>
      <c r="BG15" t="s">
        <v>146</v>
      </c>
    </row>
    <row r="16" spans="5:74" ht="28.35" customHeight="1" x14ac:dyDescent="0.25">
      <c r="BG16" t="s">
        <v>140</v>
      </c>
    </row>
    <row r="17" spans="5:74" ht="28.35" customHeight="1" x14ac:dyDescent="0.25">
      <c r="E17" s="39" t="s">
        <v>22</v>
      </c>
      <c r="F17" s="39"/>
      <c r="G17" s="39"/>
      <c r="H17" s="39"/>
      <c r="I17" s="39"/>
      <c r="J17" s="39"/>
      <c r="K17" s="39"/>
      <c r="L17" s="39"/>
      <c r="BG17" t="s">
        <v>144</v>
      </c>
    </row>
    <row r="18" spans="5:74" ht="28.35" customHeight="1" x14ac:dyDescent="0.25">
      <c r="BG18" t="s">
        <v>139</v>
      </c>
    </row>
    <row r="19" spans="5:74" ht="28.35" customHeight="1" x14ac:dyDescent="0.25">
      <c r="E19" s="99" t="s">
        <v>23</v>
      </c>
      <c r="F19" s="99"/>
      <c r="G19" s="99"/>
      <c r="H19" s="99"/>
      <c r="I19" s="99"/>
      <c r="J19" s="99"/>
      <c r="K19" s="99"/>
      <c r="L19" s="99"/>
      <c r="M19" s="3"/>
      <c r="N19" s="3"/>
      <c r="O19" s="3"/>
      <c r="P19" s="3"/>
      <c r="Q19" s="3"/>
      <c r="R19" s="3"/>
    </row>
    <row r="20" spans="5:74" ht="28.35" customHeight="1" x14ac:dyDescent="0.25">
      <c r="E20" s="37" t="s">
        <v>24</v>
      </c>
      <c r="F20" s="37"/>
      <c r="G20" s="37"/>
      <c r="H20" s="37"/>
      <c r="I20" s="37"/>
      <c r="J20" s="37"/>
      <c r="K20" s="37"/>
      <c r="L20" s="37"/>
      <c r="M20" s="96" t="str">
        <f>IF('SEC-I-OR Auswertungsbogen'!M18:R18&lt;&gt;"",'SEC-I-OR Auswertungsbogen'!M18:R18,"")</f>
        <v>Mustermann, Erika</v>
      </c>
      <c r="N20" s="96"/>
      <c r="O20" s="96"/>
      <c r="P20" s="96"/>
      <c r="Q20" s="96"/>
      <c r="R20" s="96"/>
    </row>
    <row r="21" spans="5:74" ht="28.35" customHeight="1" x14ac:dyDescent="0.25">
      <c r="E21" s="37" t="s">
        <v>25</v>
      </c>
      <c r="F21" s="37"/>
      <c r="G21" s="37"/>
      <c r="H21" s="37"/>
      <c r="I21" s="37"/>
      <c r="J21" s="37"/>
      <c r="K21" s="37"/>
      <c r="L21" s="37"/>
      <c r="M21" s="96" t="str">
        <f>IF('SEC-I-OR Auswertungsbogen'!M19:R19&lt;&gt;"",'SEC-I-OR Auswertungsbogen'!M19:R19,"")</f>
        <v>Lehrerin</v>
      </c>
      <c r="N21" s="96"/>
      <c r="O21" s="96"/>
      <c r="P21" s="96"/>
      <c r="Q21" s="96"/>
      <c r="R21" s="96"/>
    </row>
    <row r="22" spans="5:74" ht="28.35" customHeight="1" x14ac:dyDescent="0.25">
      <c r="E22" s="37" t="s">
        <v>26</v>
      </c>
      <c r="F22" s="37"/>
      <c r="G22" s="37"/>
      <c r="H22" s="37"/>
      <c r="I22" s="37"/>
      <c r="J22" s="37"/>
      <c r="K22" s="37"/>
      <c r="L22" s="37"/>
      <c r="M22" s="96" t="str">
        <f>IF('SEC-I-OR Auswertungsbogen'!M20:R20&lt;&gt;"",'SEC-I-OR Auswertungsbogen'!M20:R20,"")</f>
        <v>3 Monate</v>
      </c>
      <c r="N22" s="96"/>
      <c r="O22" s="96"/>
      <c r="P22" s="96"/>
      <c r="Q22" s="96"/>
      <c r="R22" s="96"/>
    </row>
    <row r="23" spans="5:74" ht="28.35" customHeight="1" x14ac:dyDescent="0.25">
      <c r="E23" s="37" t="s">
        <v>27</v>
      </c>
      <c r="F23" s="37"/>
      <c r="G23" s="37"/>
      <c r="H23" s="37"/>
      <c r="I23" s="37"/>
      <c r="J23" s="37"/>
      <c r="K23" s="37"/>
      <c r="L23" s="37"/>
      <c r="M23" s="98">
        <f>IF('SEC-I-OR Auswertungsbogen'!M7:R7&lt;&gt;"",'SEC-I-OR Auswertungsbogen'!M7:R7,"")</f>
        <v>44130</v>
      </c>
      <c r="N23" s="98"/>
      <c r="O23" s="98"/>
      <c r="P23" s="98"/>
      <c r="Q23" s="98"/>
      <c r="R23" s="98"/>
    </row>
    <row r="24" spans="5:74" ht="28.35" customHeight="1" x14ac:dyDescent="0.25"/>
    <row r="25" spans="5:74" ht="28.35" customHeight="1" x14ac:dyDescent="0.25"/>
    <row r="26" spans="5:74" ht="28.35" customHeight="1" x14ac:dyDescent="0.25">
      <c r="AG26" s="77" t="s">
        <v>138</v>
      </c>
      <c r="AH26" s="77"/>
      <c r="AI26" s="77"/>
      <c r="AJ26" s="77"/>
      <c r="AK26" s="77"/>
      <c r="AL26" s="77"/>
      <c r="AM26" s="77"/>
    </row>
    <row r="27" spans="5:74" ht="28.35" customHeight="1" x14ac:dyDescent="0.25">
      <c r="AN27" s="4"/>
      <c r="AO27" s="4"/>
      <c r="AP27" s="4"/>
      <c r="AQ27" s="4"/>
      <c r="AR27" s="4"/>
      <c r="AS27" s="4"/>
    </row>
    <row r="28" spans="5:74" ht="28.35" customHeight="1" x14ac:dyDescent="0.25"/>
    <row r="29" spans="5:74" ht="28.35" customHeight="1" x14ac:dyDescent="0.25">
      <c r="M29" s="20" t="s">
        <v>169</v>
      </c>
      <c r="AJ29" s="20" t="s">
        <v>171</v>
      </c>
      <c r="AK29" s="20"/>
    </row>
    <row r="30" spans="5:74" ht="28.35" customHeight="1" x14ac:dyDescent="0.25"/>
    <row r="31" spans="5:74" ht="28.35" customHeight="1" x14ac:dyDescent="0.25"/>
    <row r="32" spans="5:74" s="5" customFormat="1" ht="28.35" customHeight="1" x14ac:dyDescent="0.25">
      <c r="AV32"/>
      <c r="AW32"/>
      <c r="AX32"/>
      <c r="AY32"/>
      <c r="AZ32"/>
      <c r="BA32"/>
      <c r="BB32"/>
      <c r="BC32"/>
      <c r="BD32"/>
      <c r="BE32"/>
      <c r="BF32"/>
      <c r="BG32"/>
      <c r="BH32"/>
      <c r="BI32"/>
      <c r="BJ32"/>
      <c r="BK32"/>
      <c r="BL32"/>
      <c r="BM32"/>
      <c r="BN32"/>
      <c r="BO32"/>
      <c r="BP32"/>
      <c r="BQ32"/>
      <c r="BR32"/>
      <c r="BS32"/>
      <c r="BT32"/>
      <c r="BU32"/>
      <c r="BV32"/>
    </row>
    <row r="33" spans="4:68" ht="28.35" customHeight="1" x14ac:dyDescent="0.25"/>
    <row r="34" spans="4:68" ht="28.35" customHeight="1" x14ac:dyDescent="0.25"/>
    <row r="35" spans="4:68" ht="28.35" customHeight="1" x14ac:dyDescent="0.25"/>
    <row r="36" spans="4:68" ht="28.35" customHeight="1" x14ac:dyDescent="0.25"/>
    <row r="37" spans="4:68" ht="28.35" customHeight="1" x14ac:dyDescent="0.25"/>
    <row r="38" spans="4:68" ht="28.35" customHeight="1" x14ac:dyDescent="0.25">
      <c r="D38" s="39" t="s">
        <v>28</v>
      </c>
      <c r="E38" s="39"/>
      <c r="F38" s="39"/>
      <c r="G38" s="39"/>
      <c r="H38" s="39"/>
      <c r="I38" s="39"/>
      <c r="J38" s="39"/>
      <c r="K38" s="39"/>
      <c r="L38" s="39"/>
      <c r="AA38" s="39" t="s">
        <v>40</v>
      </c>
      <c r="AB38" s="39"/>
      <c r="AC38" s="39"/>
      <c r="AD38" s="39"/>
      <c r="AE38" s="39"/>
      <c r="AF38" s="39"/>
      <c r="AG38" s="39"/>
      <c r="AH38" s="39"/>
      <c r="AI38" s="39"/>
    </row>
    <row r="39" spans="4:68" ht="28.35" customHeight="1" x14ac:dyDescent="0.25">
      <c r="AA39" s="16" t="s">
        <v>165</v>
      </c>
    </row>
    <row r="40" spans="4:68" ht="28.35" customHeight="1" x14ac:dyDescent="0.25">
      <c r="D40" s="37" t="s">
        <v>34</v>
      </c>
      <c r="E40" s="37"/>
      <c r="F40" s="37"/>
      <c r="G40" s="37"/>
      <c r="H40" s="37"/>
      <c r="I40" s="37"/>
      <c r="J40" s="37"/>
      <c r="K40" s="37"/>
      <c r="L40" s="37"/>
      <c r="M40" s="76" t="s">
        <v>39</v>
      </c>
      <c r="N40" s="76"/>
      <c r="O40" s="76"/>
      <c r="P40" s="76"/>
      <c r="Q40" s="76"/>
      <c r="R40" s="76"/>
      <c r="AA40" s="21"/>
      <c r="AB40" s="21"/>
      <c r="AC40" s="21"/>
      <c r="AD40" s="21"/>
      <c r="AE40" s="21"/>
      <c r="AF40" s="21"/>
      <c r="AG40" s="21"/>
      <c r="AH40" s="21"/>
      <c r="AI40" s="21"/>
      <c r="AJ40" s="21"/>
      <c r="AK40" s="21"/>
      <c r="AL40" s="21"/>
      <c r="AM40" s="21"/>
      <c r="AN40" s="21"/>
      <c r="AO40" s="21"/>
      <c r="AP40" s="21"/>
      <c r="AQ40" s="21"/>
      <c r="AR40" s="21"/>
    </row>
    <row r="41" spans="4:68" ht="28.35" customHeight="1" x14ac:dyDescent="0.25">
      <c r="AA41" s="43" t="s">
        <v>184</v>
      </c>
      <c r="AB41" s="44"/>
      <c r="AC41" s="44"/>
      <c r="AD41" s="44"/>
      <c r="AE41" s="44"/>
      <c r="AF41" s="44"/>
      <c r="AG41" s="44"/>
      <c r="AH41" s="44"/>
      <c r="AI41" s="44"/>
      <c r="AJ41" s="44"/>
      <c r="AK41" s="44"/>
      <c r="AL41" s="44"/>
      <c r="AM41" s="44"/>
      <c r="AN41" s="44"/>
      <c r="AO41" s="44"/>
      <c r="AP41" s="44"/>
      <c r="AQ41" s="44"/>
      <c r="AR41" s="45"/>
    </row>
    <row r="42" spans="4:68" ht="28.35" customHeight="1" x14ac:dyDescent="0.25">
      <c r="D42" s="86"/>
      <c r="E42" s="87"/>
      <c r="F42" s="7"/>
      <c r="G42" s="78" t="s">
        <v>1</v>
      </c>
      <c r="H42" s="79"/>
      <c r="I42" s="78" t="s">
        <v>13</v>
      </c>
      <c r="J42" s="79"/>
      <c r="K42" s="78" t="s">
        <v>14</v>
      </c>
      <c r="L42" s="79"/>
      <c r="M42" s="78"/>
      <c r="N42" s="79"/>
      <c r="O42" s="7"/>
      <c r="P42" s="78" t="s">
        <v>1</v>
      </c>
      <c r="Q42" s="79"/>
      <c r="R42" s="78" t="s">
        <v>13</v>
      </c>
      <c r="S42" s="79"/>
      <c r="T42" s="78" t="s">
        <v>14</v>
      </c>
      <c r="U42" s="79"/>
      <c r="AA42" s="46"/>
      <c r="AB42" s="47"/>
      <c r="AC42" s="47"/>
      <c r="AD42" s="47"/>
      <c r="AE42" s="47"/>
      <c r="AF42" s="47"/>
      <c r="AG42" s="47"/>
      <c r="AH42" s="47"/>
      <c r="AI42" s="47"/>
      <c r="AJ42" s="47"/>
      <c r="AK42" s="47"/>
      <c r="AL42" s="47"/>
      <c r="AM42" s="47"/>
      <c r="AN42" s="47"/>
      <c r="AO42" s="47"/>
      <c r="AP42" s="47"/>
      <c r="AQ42" s="47"/>
      <c r="AR42" s="48"/>
      <c r="BB42" t="s">
        <v>60</v>
      </c>
      <c r="BE42" t="s">
        <v>14</v>
      </c>
      <c r="BK42" t="s">
        <v>60</v>
      </c>
      <c r="BN42" t="s">
        <v>14</v>
      </c>
    </row>
    <row r="43" spans="4:68" ht="28.35" customHeight="1" x14ac:dyDescent="0.25">
      <c r="D43" s="90" t="s">
        <v>2</v>
      </c>
      <c r="E43" s="91"/>
      <c r="F43" s="8"/>
      <c r="G43" s="80"/>
      <c r="H43" s="81"/>
      <c r="I43" s="80"/>
      <c r="J43" s="81"/>
      <c r="K43" s="80"/>
      <c r="L43" s="81"/>
      <c r="M43" s="90" t="s">
        <v>2</v>
      </c>
      <c r="N43" s="91"/>
      <c r="O43" s="8"/>
      <c r="P43" s="80"/>
      <c r="Q43" s="81"/>
      <c r="R43" s="80"/>
      <c r="S43" s="81"/>
      <c r="T43" s="80"/>
      <c r="U43" s="81"/>
      <c r="AA43" s="46"/>
      <c r="AB43" s="47"/>
      <c r="AC43" s="47"/>
      <c r="AD43" s="47"/>
      <c r="AE43" s="47"/>
      <c r="AF43" s="47"/>
      <c r="AG43" s="47"/>
      <c r="AH43" s="47"/>
      <c r="AI43" s="47"/>
      <c r="AJ43" s="47"/>
      <c r="AK43" s="47"/>
      <c r="AL43" s="47"/>
      <c r="AM43" s="47"/>
      <c r="AN43" s="47"/>
      <c r="AO43" s="47"/>
      <c r="AP43" s="47"/>
      <c r="AQ43" s="47"/>
      <c r="AR43" s="48"/>
      <c r="BB43" t="s">
        <v>70</v>
      </c>
      <c r="BC43" t="s">
        <v>71</v>
      </c>
      <c r="BD43" t="s">
        <v>72</v>
      </c>
      <c r="BE43" t="s">
        <v>70</v>
      </c>
      <c r="BF43" t="s">
        <v>71</v>
      </c>
      <c r="BG43" t="s">
        <v>72</v>
      </c>
      <c r="BK43" t="s">
        <v>70</v>
      </c>
      <c r="BL43" t="s">
        <v>71</v>
      </c>
      <c r="BM43" t="s">
        <v>72</v>
      </c>
      <c r="BN43" t="s">
        <v>70</v>
      </c>
      <c r="BO43" t="s">
        <v>71</v>
      </c>
      <c r="BP43" t="s">
        <v>72</v>
      </c>
    </row>
    <row r="44" spans="4:68" ht="28.35" customHeight="1" x14ac:dyDescent="0.25">
      <c r="D44" s="92" t="s">
        <v>3</v>
      </c>
      <c r="E44" s="93"/>
      <c r="F44" s="7"/>
      <c r="G44" s="88" t="str">
        <f>IF('SEC-SJT Auswertungsbogen'!BC41=0,'SEC-SJT Auswertungsbogen'!BB41,"-")</f>
        <v>-</v>
      </c>
      <c r="H44" s="89"/>
      <c r="I44" s="82"/>
      <c r="J44" s="83"/>
      <c r="K44" s="86" t="str">
        <f t="shared" ref="K44" si="0">IF($M$40="Gesamt",BE44,IF($M$40="weiblich",BF44,IF($M$40="männlich",BG44,"-")))</f>
        <v>-</v>
      </c>
      <c r="L44" s="87"/>
      <c r="M44" s="94"/>
      <c r="N44" s="95"/>
      <c r="O44" s="7"/>
      <c r="P44" s="82"/>
      <c r="Q44" s="83"/>
      <c r="R44" s="82"/>
      <c r="S44" s="83"/>
      <c r="T44" s="82"/>
      <c r="U44" s="83"/>
      <c r="AA44" s="46"/>
      <c r="AB44" s="47"/>
      <c r="AC44" s="47"/>
      <c r="AD44" s="47"/>
      <c r="AE44" s="47"/>
      <c r="AF44" s="47"/>
      <c r="AG44" s="47"/>
      <c r="AH44" s="47"/>
      <c r="AI44" s="47"/>
      <c r="AJ44" s="47"/>
      <c r="AK44" s="47"/>
      <c r="AL44" s="47"/>
      <c r="AM44" s="47"/>
      <c r="AN44" s="47"/>
      <c r="AO44" s="47"/>
      <c r="AP44" s="47"/>
      <c r="AQ44" s="47"/>
      <c r="AR44" s="48"/>
      <c r="BA44" t="s">
        <v>3</v>
      </c>
      <c r="BE44" t="str">
        <f>IF(ISNUMBER(G44),INDEX(Tabelle2[PR_total],MATCH(G44,Tabelle2[SEC-SJT],0)),"-")</f>
        <v>-</v>
      </c>
      <c r="BF44" t="str">
        <f>IF(ISNUMBER(G44),INDEX(Tabelle2[PR_female],MATCH(G44,Tabelle2[SEC-SJT],0)),"-")</f>
        <v>-</v>
      </c>
      <c r="BG44" t="str">
        <f>IF(ISNUMBER(G44),INDEX(Tabelle2[PR_male],MATCH(G44,Tabelle2[SEC-SJT],0)),"-")</f>
        <v>-</v>
      </c>
    </row>
    <row r="45" spans="4:68" ht="28.35" customHeight="1" x14ac:dyDescent="0.25">
      <c r="D45" s="92" t="s">
        <v>4</v>
      </c>
      <c r="E45" s="93"/>
      <c r="F45" s="7"/>
      <c r="G45" s="88" t="str">
        <f>IF('SEC-I-SR Auswertungsbogen'!BC41=0,'SEC-I-SR Auswertungsbogen'!BB41,IF('SEC-I-SR Auswertungsbogen'!BC41&lt;=4,ROUND(('SEC-I-SR Auswertungsbogen'!BB41/COUNT('SEC-I-SR Auswertungsbogen'!G42:I55,'SEC-I-SR Auswertungsbogen'!M42:O55,'SEC-I-SR Auswertungsbogen'!S42:U54))*41,0)&amp;CHAR(42),"-"))</f>
        <v>-</v>
      </c>
      <c r="H45" s="89"/>
      <c r="I45" s="86" t="str">
        <f>IF($M$40="Gesamt",BB45,IF($M$40="weiblich",BC45,IF($M$40="männlich",BD45,"-")))</f>
        <v>-</v>
      </c>
      <c r="J45" s="87"/>
      <c r="K45" s="86" t="str">
        <f>IF($M$40="Gesamt",BE45,IF($M$40="weiblich",BF45,IF($M$40="männlich",BG45,"-")))</f>
        <v>-</v>
      </c>
      <c r="L45" s="87"/>
      <c r="M45" s="92" t="s">
        <v>50</v>
      </c>
      <c r="N45" s="93"/>
      <c r="O45" s="7"/>
      <c r="P45" s="88" t="str">
        <f>IF('SEC-I-OR Auswertungsbogen'!BC41=0,'SEC-I-OR Auswertungsbogen'!BB41,IF('SEC-I-OR Auswertungsbogen'!BC41&lt;=4,ROUND(('SEC-I-OR Auswertungsbogen'!BB41/COUNT('SEC-I-OR Auswertungsbogen'!G42:I55,'SEC-I-OR Auswertungsbogen'!M42:O55,'SEC-I-OR Auswertungsbogen'!S42:U54))*41,0)&amp;CHAR(42),"-"))</f>
        <v>-</v>
      </c>
      <c r="Q45" s="89"/>
      <c r="R45" s="86" t="str">
        <f>IF($M$40="Gesamt",BK45,IF($M$40="weiblich",BL45,IF($M$40="männlich",BM45,"-")))</f>
        <v>-</v>
      </c>
      <c r="S45" s="87"/>
      <c r="T45" s="86" t="str">
        <f>IF($M$40="Gesamt",BN45,IF($M$40="weiblich",BO45,IF($M$40="männlich",BP45,"-")))</f>
        <v>-</v>
      </c>
      <c r="U45" s="87"/>
      <c r="AA45" s="46"/>
      <c r="AB45" s="47"/>
      <c r="AC45" s="47"/>
      <c r="AD45" s="47"/>
      <c r="AE45" s="47"/>
      <c r="AF45" s="47"/>
      <c r="AG45" s="47"/>
      <c r="AH45" s="47"/>
      <c r="AI45" s="47"/>
      <c r="AJ45" s="47"/>
      <c r="AK45" s="47"/>
      <c r="AL45" s="47"/>
      <c r="AM45" s="47"/>
      <c r="AN45" s="47"/>
      <c r="AO45" s="47"/>
      <c r="AP45" s="47"/>
      <c r="AQ45" s="47"/>
      <c r="AR45" s="48"/>
      <c r="BA45" t="s">
        <v>4</v>
      </c>
      <c r="BB45" t="str">
        <f>IF(G45="-","-",IFERROR(INDEX('SEC-I norm'!$A$2:$A$60,MATCH(_xlfn.NUMBERVALUE(IF(RIGHT(G45,1)="*",MID(G45,1,LEN(G45)-1),G45)),SEC_I_norm[SEC-SR_total],1)),20))</f>
        <v>-</v>
      </c>
      <c r="BC45" t="str">
        <f>IF(G45="-","-",IFERROR(INDEX('SEC-I norm'!$A$2:$A$60,MATCH(_xlfn.NUMBERVALUE(IF(RIGHT(G45,1)="*",MID(G45,1,LEN(G45)-1),G45)),SEC_I_norm[SEC-SR_female],1)),20))</f>
        <v>-</v>
      </c>
      <c r="BD45" t="str">
        <f>IF(G45="-","-",IFERROR(INDEX('SEC-I norm'!$A$2:$A$60,MATCH(_xlfn.NUMBERVALUE(IF(RIGHT(G45,1)="*",MID(G45,1,LEN(G45)-1),G45)),SEC_I_norm[SEC-SR_male],1)),20))</f>
        <v>-</v>
      </c>
      <c r="BE45" t="str">
        <f>IF(G45="-","-",IFERROR(INDEX('SEC-I norm'!$B$2:$B$60,MATCH(_xlfn.NUMBERVALUE(IF(RIGHT(G45,1)="*",MID(G45,1,LEN(G45)-1),G45)),SEC_I_norm[SEC-SR_total],1)),20))</f>
        <v>-</v>
      </c>
      <c r="BF45" t="str">
        <f>IF(G45="-","-",IFERROR(INDEX('SEC-I norm'!$B$2:$B$60,MATCH(_xlfn.NUMBERVALUE(IF(RIGHT(G45,1)="*",MID(G45,1,LEN(G45)-1),G45)),SEC_I_norm[SEC-SR_female],1)),20))</f>
        <v>-</v>
      </c>
      <c r="BG45" t="str">
        <f>IF(G45="-","-",IFERROR(INDEX('SEC-I norm'!$B$2:$B$60,MATCH(_xlfn.NUMBERVALUE(IF(RIGHT(G45,1)="*",MID(G45,1,LEN(G45)-1),G45)),SEC_I_norm[SEC-SR_male],1)),20))</f>
        <v>-</v>
      </c>
      <c r="BJ45" t="s">
        <v>50</v>
      </c>
      <c r="BK45" t="str">
        <f>IF(P45="-","-",IFERROR(INDEX('SEC-I norm'!$A$2:$A$60,MATCH(_xlfn.NUMBERVALUE(IF(RIGHT(P45,1)="*",MID(P45,1,LEN(P45)-1),P45)),SEC_I_norm[SEC-OR_total],1)),20))</f>
        <v>-</v>
      </c>
      <c r="BL45" t="str">
        <f>IF(P45="-","-",IFERROR(INDEX('SEC-I norm'!$A$2:$A$60,MATCH(_xlfn.NUMBERVALUE(IF(RIGHT(P45,1)="*",MID(P45,1,LEN(P45)-1),P45)),SEC_I_norm[SEC-OR_female],1)),20))</f>
        <v>-</v>
      </c>
      <c r="BM45" t="str">
        <f>IF(P45="-","-",IFERROR(INDEX('SEC-I norm'!$A$2:$A$60,MATCH(_xlfn.NUMBERVALUE(IF(RIGHT(P45,1)="*",MID(P45,1,LEN(P45)-1),P45)),SEC_I_norm[SEC-OR_male],1)),20))</f>
        <v>-</v>
      </c>
      <c r="BN45" t="str">
        <f>IF(P45="-","-",IFERROR(INDEX('SEC-I norm'!$B$2:$B$60,MATCH(_xlfn.NUMBERVALUE(IF(RIGHT(P45,1)="*",MID(P45,1,LEN(P45)-1),P45)),SEC_I_norm[SEC-OR_total],1)),20))</f>
        <v>-</v>
      </c>
      <c r="BO45" t="str">
        <f>IF(P45="-","-",IFERROR(INDEX('SEC-I norm'!$B$2:$B$60,MATCH(_xlfn.NUMBERVALUE(IF(RIGHT(P45,1)="*",MID(P45,1,LEN(P45)-1),P45)),SEC_I_norm[SEC-OR_female],1)),20))</f>
        <v>-</v>
      </c>
      <c r="BP45" t="str">
        <f>IF(P45="-","-",IFERROR(INDEX('SEC-I norm'!$B$2:$B$60,MATCH(_xlfn.NUMBERVALUE(IF(RIGHT(P45,1)="*",MID(P45,1,LEN(P45)-1),P45)),SEC_I_norm[SEC-OR_male],1)),20))</f>
        <v>-</v>
      </c>
    </row>
    <row r="46" spans="4:68" ht="28.35" customHeight="1" x14ac:dyDescent="0.25">
      <c r="D46" s="84" t="s">
        <v>5</v>
      </c>
      <c r="E46" s="85"/>
      <c r="F46" s="7"/>
      <c r="G46" s="88" t="str">
        <f>IF('SEC-I-SR Auswertungsbogen'!BC42=0,'SEC-I-SR Auswertungsbogen'!BB42,"-")</f>
        <v>-</v>
      </c>
      <c r="H46" s="89"/>
      <c r="I46" s="86" t="str">
        <f t="shared" ref="I46:I53" si="1">IF($M$40="Gesamt",BB46,IF($M$40="weiblich",BC46,IF($M$40="männlich",BD46,"-")))</f>
        <v>-</v>
      </c>
      <c r="J46" s="87"/>
      <c r="K46" s="86" t="str">
        <f t="shared" ref="K46:K53" si="2">IF($M$40="Gesamt",BE46,IF($M$40="weiblich",BF46,IF($M$40="männlich",BG46,"-")))</f>
        <v>-</v>
      </c>
      <c r="L46" s="87"/>
      <c r="M46" s="84" t="s">
        <v>51</v>
      </c>
      <c r="N46" s="85"/>
      <c r="O46" s="7"/>
      <c r="P46" s="88" t="str">
        <f>IF('SEC-I-OR Auswertungsbogen'!BC42=0,'SEC-I-OR Auswertungsbogen'!BB42,"-")</f>
        <v>-</v>
      </c>
      <c r="Q46" s="89"/>
      <c r="R46" s="86" t="str">
        <f t="shared" ref="R46:R53" si="3">IF($M$40="Gesamt",BK46,IF($M$40="weiblich",BL46,IF($M$40="männlich",BM46,"-")))</f>
        <v>-</v>
      </c>
      <c r="S46" s="87"/>
      <c r="T46" s="86" t="str">
        <f t="shared" ref="T46:T53" si="4">IF($M$40="Gesamt",BN46,IF($M$40="weiblich",BO46,IF($M$40="männlich",BP46,"-")))</f>
        <v>-</v>
      </c>
      <c r="U46" s="87"/>
      <c r="AA46" s="46"/>
      <c r="AB46" s="47"/>
      <c r="AC46" s="47"/>
      <c r="AD46" s="47"/>
      <c r="AE46" s="47"/>
      <c r="AF46" s="47"/>
      <c r="AG46" s="47"/>
      <c r="AH46" s="47"/>
      <c r="AI46" s="47"/>
      <c r="AJ46" s="47"/>
      <c r="AK46" s="47"/>
      <c r="AL46" s="47"/>
      <c r="AM46" s="47"/>
      <c r="AN46" s="47"/>
      <c r="AO46" s="47"/>
      <c r="AP46" s="47"/>
      <c r="AQ46" s="47"/>
      <c r="AR46" s="48"/>
      <c r="BA46" t="s">
        <v>5</v>
      </c>
      <c r="BB46" t="str">
        <f>IF(G46="-","-",IFERROR(INDEX('SEC-I norm'!$A$2:$A$60,MATCH(G46,SEC_I_norm[EBE-SR_total],1)),20))</f>
        <v>-</v>
      </c>
      <c r="BC46" t="str">
        <f>IF(G46="-","-",IFERROR(INDEX('SEC-I norm'!$A$2:$A$60,MATCH(G46,SEC_I_norm[EBE-SR_female],1)),20))</f>
        <v>-</v>
      </c>
      <c r="BD46" t="str">
        <f>IF(G46="-","-",IFERROR(INDEX('SEC-I norm'!$A$2:$A$60,MATCH(G46,SEC_I_norm[EBE-SR_male],1)),20))</f>
        <v>-</v>
      </c>
      <c r="BE46" t="str">
        <f>IF(G46="-","-",IFERROR(INDEX('SEC-I norm'!$B$2:$B$60,MATCH(G46,SEC_I_norm[EBE-SR_total],1)),20))</f>
        <v>-</v>
      </c>
      <c r="BF46" t="str">
        <f>IF(G46="-","-",IFERROR(INDEX('SEC-I norm'!$B$2:$B$60,MATCH(G46,SEC_I_norm[EBE-SR_female],1)),20))</f>
        <v>-</v>
      </c>
      <c r="BG46" t="str">
        <f>IF(G46="-","-",IFERROR(INDEX('SEC-I norm'!$B$2:$B$60,MATCH(G46,SEC_I_norm[EBE-SR_male],1)),20))</f>
        <v>-</v>
      </c>
      <c r="BJ46" t="s">
        <v>51</v>
      </c>
      <c r="BK46" t="str">
        <f>IF(P46="-","-",IFERROR(INDEX('SEC-I norm'!$A$2:$A$60,MATCH(P46,SEC_I_norm[EBE-OR_total],1)),20))</f>
        <v>-</v>
      </c>
      <c r="BL46" t="str">
        <f>IF(P46="-","-",IFERROR(INDEX('SEC-I norm'!$A$2:$A$60,MATCH(P46,SEC_I_norm[EBE-OR_female],1)),20))</f>
        <v>-</v>
      </c>
      <c r="BM46" t="str">
        <f>IF(P46="-","-",IFERROR(INDEX('SEC-I norm'!$A$2:$A$60,MATCH(P46,SEC_I_norm[EBE-OR_male],1)),20))</f>
        <v>-</v>
      </c>
      <c r="BN46" t="str">
        <f>IF(P46="-","-",IFERROR(INDEX('SEC-I norm'!$B$2:$B$60,MATCH(P46,SEC_I_norm[EBE-OR_total],1)),20))</f>
        <v>-</v>
      </c>
      <c r="BO46" t="str">
        <f>IF(P46="-","-",IFERROR(INDEX('SEC-I norm'!$B$2:$B$60,MATCH(P46,SEC_I_norm[EBE-OR_female],1)),20))</f>
        <v>-</v>
      </c>
      <c r="BP46" t="str">
        <f>IF(P46="-","-",IFERROR(INDEX('SEC-I norm'!$B$2:$B$60,MATCH(P46,SEC_I_norm[EBE-OR_male],1)),20))</f>
        <v>-</v>
      </c>
    </row>
    <row r="47" spans="4:68" ht="28.35" customHeight="1" x14ac:dyDescent="0.25">
      <c r="D47" s="84" t="s">
        <v>6</v>
      </c>
      <c r="E47" s="85"/>
      <c r="F47" s="7"/>
      <c r="G47" s="88" t="str">
        <f>IF('SEC-I-SR Auswertungsbogen'!BC43=0,'SEC-I-SR Auswertungsbogen'!BB43,"-")</f>
        <v>-</v>
      </c>
      <c r="H47" s="89"/>
      <c r="I47" s="86" t="str">
        <f t="shared" si="1"/>
        <v>-</v>
      </c>
      <c r="J47" s="87"/>
      <c r="K47" s="86" t="str">
        <f t="shared" si="2"/>
        <v>-</v>
      </c>
      <c r="L47" s="87"/>
      <c r="M47" s="84" t="s">
        <v>52</v>
      </c>
      <c r="N47" s="85"/>
      <c r="O47" s="7"/>
      <c r="P47" s="88" t="str">
        <f>IF('SEC-I-OR Auswertungsbogen'!BC43=0,'SEC-I-OR Auswertungsbogen'!BB43,"-")</f>
        <v>-</v>
      </c>
      <c r="Q47" s="89"/>
      <c r="R47" s="86" t="str">
        <f t="shared" si="3"/>
        <v>-</v>
      </c>
      <c r="S47" s="87"/>
      <c r="T47" s="86" t="str">
        <f t="shared" si="4"/>
        <v>-</v>
      </c>
      <c r="U47" s="87"/>
      <c r="AA47" s="46"/>
      <c r="AB47" s="47"/>
      <c r="AC47" s="47"/>
      <c r="AD47" s="47"/>
      <c r="AE47" s="47"/>
      <c r="AF47" s="47"/>
      <c r="AG47" s="47"/>
      <c r="AH47" s="47"/>
      <c r="AI47" s="47"/>
      <c r="AJ47" s="47"/>
      <c r="AK47" s="47"/>
      <c r="AL47" s="47"/>
      <c r="AM47" s="47"/>
      <c r="AN47" s="47"/>
      <c r="AO47" s="47"/>
      <c r="AP47" s="47"/>
      <c r="AQ47" s="47"/>
      <c r="AR47" s="48"/>
      <c r="BA47" t="s">
        <v>6</v>
      </c>
      <c r="BB47" t="str">
        <f>IF(G47="-","-",IFERROR(INDEX('SEC-I norm'!$A$2:$A$60,MATCH(G47,SEC_I_norm[ECO-SR_total],1)),20))</f>
        <v>-</v>
      </c>
      <c r="BC47" t="str">
        <f>IF(G47="-","-",IFERROR(INDEX('SEC-I norm'!$A$2:$A$60,MATCH(G47,SEC_I_norm[ECO-SR_female],1)),20))</f>
        <v>-</v>
      </c>
      <c r="BD47" t="str">
        <f>IF(G47="-","-",IFERROR(INDEX('SEC-I norm'!$A$2:$A$60,MATCH(G47,SEC_I_norm[ECO-SR_male],1)),20))</f>
        <v>-</v>
      </c>
      <c r="BE47" t="str">
        <f>IF(G47="-","-",IFERROR(INDEX('SEC-I norm'!$B$2:$B$60,MATCH(G47,SEC_I_norm[ECO-SR_total],1)),20))</f>
        <v>-</v>
      </c>
      <c r="BF47" t="str">
        <f>IF(G47="-","-",IFERROR(INDEX('SEC-I norm'!$B$2:$B$60,MATCH(G47,SEC_I_norm[ECO-SR_female],1)),20))</f>
        <v>-</v>
      </c>
      <c r="BG47" t="str">
        <f>IF(G47="-","-",IFERROR(INDEX('SEC-I norm'!$B$2:$B$60,MATCH(G47,SEC_I_norm[ECO-SR_male],1)),20))</f>
        <v>-</v>
      </c>
      <c r="BJ47" t="s">
        <v>52</v>
      </c>
      <c r="BK47" t="str">
        <f>IF(P47="-","-",IFERROR(INDEX('SEC-I norm'!$A$2:$A$60,MATCH(P47,SEC_I_norm[ECO-OR_total],1)),20))</f>
        <v>-</v>
      </c>
      <c r="BL47" t="str">
        <f>IF(P47="-","-",IFERROR(INDEX('SEC-I norm'!$A$2:$A$60,MATCH(P47,SEC_I_norm[ECO-OR_female],1)),20))</f>
        <v>-</v>
      </c>
      <c r="BM47" t="str">
        <f>IF(P47="-","-",IFERROR(INDEX('SEC-I norm'!$A$2:$A$60,MATCH(P47,SEC_I_norm[ECO-OR_male],1)),20))</f>
        <v>-</v>
      </c>
      <c r="BN47" t="str">
        <f>IF(P47="-","-",IFERROR(INDEX('SEC-I norm'!$B$2:$B$60,MATCH(P47,SEC_I_norm[ECO-OR_total],1)),20))</f>
        <v>-</v>
      </c>
      <c r="BO47" t="str">
        <f>IF(P47="-","-",IFERROR(INDEX('SEC-I norm'!$B$2:$B$60,MATCH(P47,SEC_I_norm[ECO-OR_female],1)),20))</f>
        <v>-</v>
      </c>
      <c r="BP47" t="str">
        <f>IF(P47="-","-",IFERROR(INDEX('SEC-I norm'!$B$2:$B$60,MATCH(P47,SEC_I_norm[ECO-OR_male],1)),20))</f>
        <v>-</v>
      </c>
    </row>
    <row r="48" spans="4:68" ht="28.35" customHeight="1" x14ac:dyDescent="0.25">
      <c r="D48" s="84" t="s">
        <v>7</v>
      </c>
      <c r="E48" s="85"/>
      <c r="F48" s="7"/>
      <c r="G48" s="88" t="str">
        <f>IF('SEC-I-SR Auswertungsbogen'!BC44=0,'SEC-I-SR Auswertungsbogen'!BB44,"-")</f>
        <v>-</v>
      </c>
      <c r="H48" s="89"/>
      <c r="I48" s="86" t="str">
        <f t="shared" si="1"/>
        <v>-</v>
      </c>
      <c r="J48" s="87"/>
      <c r="K48" s="86" t="str">
        <f t="shared" si="2"/>
        <v>-</v>
      </c>
      <c r="L48" s="87"/>
      <c r="M48" s="84" t="s">
        <v>53</v>
      </c>
      <c r="N48" s="85"/>
      <c r="O48" s="7"/>
      <c r="P48" s="88" t="str">
        <f>IF('SEC-I-OR Auswertungsbogen'!BC44=0,'SEC-I-OR Auswertungsbogen'!BB44,"-")</f>
        <v>-</v>
      </c>
      <c r="Q48" s="89"/>
      <c r="R48" s="86" t="str">
        <f t="shared" si="3"/>
        <v>-</v>
      </c>
      <c r="S48" s="87"/>
      <c r="T48" s="86" t="str">
        <f t="shared" si="4"/>
        <v>-</v>
      </c>
      <c r="U48" s="87"/>
      <c r="AA48" s="46"/>
      <c r="AB48" s="47"/>
      <c r="AC48" s="47"/>
      <c r="AD48" s="47"/>
      <c r="AE48" s="47"/>
      <c r="AF48" s="47"/>
      <c r="AG48" s="47"/>
      <c r="AH48" s="47"/>
      <c r="AI48" s="47"/>
      <c r="AJ48" s="47"/>
      <c r="AK48" s="47"/>
      <c r="AL48" s="47"/>
      <c r="AM48" s="47"/>
      <c r="AN48" s="47"/>
      <c r="AO48" s="47"/>
      <c r="AP48" s="47"/>
      <c r="AQ48" s="47"/>
      <c r="AR48" s="48"/>
      <c r="BA48" t="s">
        <v>7</v>
      </c>
      <c r="BB48" t="str">
        <f>IF(G48="-","-",IFERROR(INDEX('SEC-I norm'!$A$2:$A$60,MATCH(G48,SEC_I_norm[PEA-SR_total],1)),20))</f>
        <v>-</v>
      </c>
      <c r="BC48" t="str">
        <f>IF(G48="-","-",IFERROR(INDEX('SEC-I norm'!$A$2:$A$60,MATCH(G48,SEC_I_norm[PEA-SR_female],1)),20))</f>
        <v>-</v>
      </c>
      <c r="BD48" t="str">
        <f>IF(G48="-","-",IFERROR(INDEX('SEC-I norm'!$A$2:$A$60,MATCH(G48,SEC_I_norm[PEA-SR_male],1)),20))</f>
        <v>-</v>
      </c>
      <c r="BE48" t="str">
        <f>IF(G48="-","-",IFERROR(INDEX('SEC-I norm'!$B$2:$B$60,MATCH(G48,SEC_I_norm[PEA-SR_total],1)),20))</f>
        <v>-</v>
      </c>
      <c r="BF48" t="str">
        <f>IF(G48="-","-",IFERROR(INDEX('SEC-I norm'!$B$2:$B$60,MATCH(G48,SEC_I_norm[PEA-SR_female],1)),20))</f>
        <v>-</v>
      </c>
      <c r="BG48" t="str">
        <f>IF(G48="-","-",IFERROR(INDEX('SEC-I norm'!$B$2:$B$60,MATCH(G48,SEC_I_norm[PEA-SR_male],1)),20))</f>
        <v>-</v>
      </c>
      <c r="BJ48" t="s">
        <v>53</v>
      </c>
      <c r="BK48" t="str">
        <f>IF(P48="-","-",IFERROR(INDEX('SEC-I norm'!$A$2:$A$60,MATCH(P48,SEC_I_norm[PEA-OR_total],1)),20))</f>
        <v>-</v>
      </c>
      <c r="BL48" t="str">
        <f>IF(P48="-","-",IFERROR(INDEX('SEC-I norm'!$A$2:$A$60,MATCH(P48,SEC_I_norm[PEA-OR_female],1)),20))</f>
        <v>-</v>
      </c>
      <c r="BM48" t="str">
        <f>IF(P48="-","-",IFERROR(INDEX('SEC-I norm'!$A$2:$A$60,MATCH(P48,SEC_I_norm[PEA-OR_male],1)),20))</f>
        <v>-</v>
      </c>
      <c r="BN48" t="str">
        <f>IF(P48="-","-",IFERROR(INDEX('SEC-I norm'!$B$2:$B$60,MATCH(P48,SEC_I_norm[PEA-OR_total],1)),20))</f>
        <v>-</v>
      </c>
      <c r="BO48" t="str">
        <f>IF(P48="-","-",IFERROR(INDEX('SEC-I norm'!$B$2:$B$60,MATCH(P48,SEC_I_norm[PEA-OR_female],1)),20))</f>
        <v>-</v>
      </c>
      <c r="BP48" t="str">
        <f>IF(P48="-","-",IFERROR(INDEX('SEC-I norm'!$B$2:$B$60,MATCH(P48,SEC_I_norm[PEA-OR_male],1)),20))</f>
        <v>-</v>
      </c>
    </row>
    <row r="49" spans="4:68" ht="28.35" customHeight="1" x14ac:dyDescent="0.25">
      <c r="D49" s="84" t="s">
        <v>8</v>
      </c>
      <c r="E49" s="85"/>
      <c r="F49" s="7"/>
      <c r="G49" s="88" t="str">
        <f>IF('SEC-I-SR Auswertungsbogen'!BC45=0,'SEC-I-SR Auswertungsbogen'!BB45,"-")</f>
        <v>-</v>
      </c>
      <c r="H49" s="89"/>
      <c r="I49" s="86" t="str">
        <f t="shared" si="1"/>
        <v>-</v>
      </c>
      <c r="J49" s="87"/>
      <c r="K49" s="86" t="str">
        <f t="shared" si="2"/>
        <v>-</v>
      </c>
      <c r="L49" s="87"/>
      <c r="M49" s="84" t="s">
        <v>54</v>
      </c>
      <c r="N49" s="85"/>
      <c r="O49" s="7"/>
      <c r="P49" s="88" t="str">
        <f>IF('SEC-I-OR Auswertungsbogen'!BC45=0,'SEC-I-OR Auswertungsbogen'!BB45,"-")</f>
        <v>-</v>
      </c>
      <c r="Q49" s="89"/>
      <c r="R49" s="86" t="str">
        <f t="shared" si="3"/>
        <v>-</v>
      </c>
      <c r="S49" s="87"/>
      <c r="T49" s="86" t="str">
        <f t="shared" si="4"/>
        <v>-</v>
      </c>
      <c r="U49" s="87"/>
      <c r="AA49" s="46"/>
      <c r="AB49" s="47"/>
      <c r="AC49" s="47"/>
      <c r="AD49" s="47"/>
      <c r="AE49" s="47"/>
      <c r="AF49" s="47"/>
      <c r="AG49" s="47"/>
      <c r="AH49" s="47"/>
      <c r="AI49" s="47"/>
      <c r="AJ49" s="47"/>
      <c r="AK49" s="47"/>
      <c r="AL49" s="47"/>
      <c r="AM49" s="47"/>
      <c r="AN49" s="47"/>
      <c r="AO49" s="47"/>
      <c r="AP49" s="47"/>
      <c r="AQ49" s="47"/>
      <c r="AR49" s="48"/>
      <c r="BA49" t="s">
        <v>8</v>
      </c>
      <c r="BB49" t="str">
        <f>IF(G49="-","-",IFERROR(INDEX('SEC-I norm'!$A$2:$A$60,MATCH(G49,SEC_I_norm[PES-SR_total],1)),20))</f>
        <v>-</v>
      </c>
      <c r="BC49" t="str">
        <f>IF(G49="-","-",IFERROR(INDEX('SEC-I norm'!$A$2:$A$60,MATCH(G49,SEC_I_norm[PES-SR_female],1)),20))</f>
        <v>-</v>
      </c>
      <c r="BD49" t="str">
        <f>IF(G49="-","-",IFERROR(INDEX('SEC-I norm'!$A$2:$A$60,MATCH(G49,SEC_I_norm[PES-SR_male],1)),20))</f>
        <v>-</v>
      </c>
      <c r="BE49" t="str">
        <f>IF(G49="-","-",IFERROR(INDEX('SEC-I norm'!$B$2:$B$60,MATCH(G49,SEC_I_norm[PES-SR_total],1)),20))</f>
        <v>-</v>
      </c>
      <c r="BF49" t="str">
        <f>IF(G49="-","-",IFERROR(INDEX('SEC-I norm'!$B$2:$B$60,MATCH(G49,SEC_I_norm[PES-SR_female],1)),20))</f>
        <v>-</v>
      </c>
      <c r="BG49" t="str">
        <f>IF(G49="-","-",IFERROR(INDEX('SEC-I norm'!$B$2:$B$60,MATCH(G49,SEC_I_norm[PES-SR_male],1)),20))</f>
        <v>-</v>
      </c>
      <c r="BJ49" t="s">
        <v>54</v>
      </c>
      <c r="BK49" t="str">
        <f>IF(P49="-","-",IFERROR(INDEX('SEC-I norm'!$A$2:$A$60,MATCH(P49,SEC_I_norm[PES-OR_total],1)),20))</f>
        <v>-</v>
      </c>
      <c r="BL49" t="str">
        <f>IF(P49="-","-",IFERROR(INDEX('SEC-I norm'!$A$2:$A$60,MATCH(P49,SEC_I_norm[PES-OR_female],1)),20))</f>
        <v>-</v>
      </c>
      <c r="BM49" t="str">
        <f>IF(P49="-","-",IFERROR(INDEX('SEC-I norm'!$A$2:$A$60,MATCH(P49,SEC_I_norm[PES-OR_male],1)),20))</f>
        <v>-</v>
      </c>
      <c r="BN49" t="str">
        <f>IF(P49="-","-",IFERROR(INDEX('SEC-I norm'!$B$2:$B$60,MATCH(P49,SEC_I_norm[PES-OR_total],1)),20))</f>
        <v>-</v>
      </c>
      <c r="BO49" t="str">
        <f>IF(P49="-","-",IFERROR(INDEX('SEC-I norm'!$B$2:$B$60,MATCH(P49,SEC_I_norm[PES-OR_female],1)),20))</f>
        <v>-</v>
      </c>
      <c r="BP49" t="str">
        <f>IF(P49="-","-",IFERROR(INDEX('SEC-I norm'!$B$2:$B$60,MATCH(P49,SEC_I_norm[PES-OR_male],1)),20))</f>
        <v>-</v>
      </c>
    </row>
    <row r="50" spans="4:68" ht="28.35" customHeight="1" x14ac:dyDescent="0.25">
      <c r="D50" s="84" t="s">
        <v>10</v>
      </c>
      <c r="E50" s="85"/>
      <c r="F50" s="7"/>
      <c r="G50" s="88" t="str">
        <f>IF('SEC-I-SR Auswertungsbogen'!BC46=0,'SEC-I-SR Auswertungsbogen'!BB46,"-")</f>
        <v>-</v>
      </c>
      <c r="H50" s="89"/>
      <c r="I50" s="86" t="str">
        <f t="shared" si="1"/>
        <v>-</v>
      </c>
      <c r="J50" s="87"/>
      <c r="K50" s="86" t="str">
        <f t="shared" si="2"/>
        <v>-</v>
      </c>
      <c r="L50" s="87"/>
      <c r="M50" s="84" t="s">
        <v>55</v>
      </c>
      <c r="N50" s="85"/>
      <c r="O50" s="7"/>
      <c r="P50" s="88" t="str">
        <f>IF('SEC-I-OR Auswertungsbogen'!BC46=0,'SEC-I-OR Auswertungsbogen'!BB46,"-")</f>
        <v>-</v>
      </c>
      <c r="Q50" s="89"/>
      <c r="R50" s="86" t="str">
        <f t="shared" si="3"/>
        <v>-</v>
      </c>
      <c r="S50" s="87"/>
      <c r="T50" s="86" t="str">
        <f t="shared" si="4"/>
        <v>-</v>
      </c>
      <c r="U50" s="87"/>
      <c r="AA50" s="46"/>
      <c r="AB50" s="47"/>
      <c r="AC50" s="47"/>
      <c r="AD50" s="47"/>
      <c r="AE50" s="47"/>
      <c r="AF50" s="47"/>
      <c r="AG50" s="47"/>
      <c r="AH50" s="47"/>
      <c r="AI50" s="47"/>
      <c r="AJ50" s="47"/>
      <c r="AK50" s="47"/>
      <c r="AL50" s="47"/>
      <c r="AM50" s="47"/>
      <c r="AN50" s="47"/>
      <c r="AO50" s="47"/>
      <c r="AP50" s="47"/>
      <c r="AQ50" s="47"/>
      <c r="AR50" s="48"/>
      <c r="BA50" t="s">
        <v>10</v>
      </c>
      <c r="BB50" t="str">
        <f>IF(G50="-","-",IFERROR(INDEX('SEC-I norm'!$A$2:$A$60,MATCH(G50,SEC_I_norm[REA-SR_total],1)),20))</f>
        <v>-</v>
      </c>
      <c r="BC50" t="str">
        <f>IF(G50="-","-",IFERROR(INDEX('SEC-I norm'!$A$2:$A$60,MATCH(G50,SEC_I_norm[REA-SR_female],1)),20))</f>
        <v>-</v>
      </c>
      <c r="BD50" t="str">
        <f>IF(G50="-","-",IFERROR(INDEX('SEC-I norm'!$A$2:$A$60,MATCH(G50,SEC_I_norm[REA-SR_male],1)),20))</f>
        <v>-</v>
      </c>
      <c r="BE50" t="str">
        <f>IF(G50="-","-",IFERROR(INDEX('SEC-I norm'!$B$2:$B$60,MATCH(G50,SEC_I_norm[REA-SR_total],1)),20))</f>
        <v>-</v>
      </c>
      <c r="BF50" t="str">
        <f>IF(G50="-","-",IFERROR(INDEX('SEC-I norm'!$B$2:$B$60,MATCH(G50,SEC_I_norm[REA-SR_female],1)),20))</f>
        <v>-</v>
      </c>
      <c r="BG50" t="str">
        <f>IF(G50="-","-",IFERROR(INDEX('SEC-I norm'!$B$2:$B$60,MATCH(G50,SEC_I_norm[REA-SR_male],1)),20))</f>
        <v>-</v>
      </c>
      <c r="BJ50" t="s">
        <v>55</v>
      </c>
      <c r="BK50" t="str">
        <f>IF(P50="-","-",IFERROR(INDEX('SEC-I norm'!$A$2:$A$60,MATCH(P50,SEC_I_norm[REA-OR_total],1)),20))</f>
        <v>-</v>
      </c>
      <c r="BL50" t="str">
        <f>IF(P50="-","-",IFERROR(INDEX('SEC-I norm'!$A$2:$A$60,MATCH(P50,SEC_I_norm[REA-OR_female],1)),20))</f>
        <v>-</v>
      </c>
      <c r="BM50" t="str">
        <f>IF(P50="-","-",IFERROR(INDEX('SEC-I norm'!$A$2:$A$60,MATCH(P50,SEC_I_norm[REA-OR_male],1)),20))</f>
        <v>-</v>
      </c>
      <c r="BN50" t="str">
        <f>IF(P50="-","-",IFERROR(INDEX('SEC-I norm'!$B$2:$B$60,MATCH(P50,SEC_I_norm[REA-OR_total],1)),20))</f>
        <v>-</v>
      </c>
      <c r="BO50" t="str">
        <f>IF(P50="-","-",IFERROR(INDEX('SEC-I norm'!$B$2:$B$60,MATCH(P50,SEC_I_norm[REA-OR_female],1)),20))</f>
        <v>-</v>
      </c>
      <c r="BP50" t="str">
        <f>IF(P50="-","-",IFERROR(INDEX('SEC-I norm'!$B$2:$B$60,MATCH(P50,SEC_I_norm[REA-OR_male],1)),20))</f>
        <v>-</v>
      </c>
    </row>
    <row r="51" spans="4:68" ht="28.35" customHeight="1" x14ac:dyDescent="0.25">
      <c r="D51" s="84" t="s">
        <v>9</v>
      </c>
      <c r="E51" s="85"/>
      <c r="F51" s="7"/>
      <c r="G51" s="88" t="str">
        <f>IF('SEC-I-SR Auswertungsbogen'!BC47=0,'SEC-I-SR Auswertungsbogen'!BB47,"-")</f>
        <v>-</v>
      </c>
      <c r="H51" s="89"/>
      <c r="I51" s="86" t="str">
        <f t="shared" si="1"/>
        <v>-</v>
      </c>
      <c r="J51" s="87"/>
      <c r="K51" s="86" t="str">
        <f t="shared" si="2"/>
        <v>-</v>
      </c>
      <c r="L51" s="87"/>
      <c r="M51" s="84" t="s">
        <v>56</v>
      </c>
      <c r="N51" s="85"/>
      <c r="O51" s="7"/>
      <c r="P51" s="88" t="str">
        <f>IF('SEC-I-OR Auswertungsbogen'!BC47=0,'SEC-I-OR Auswertungsbogen'!BB47,"-")</f>
        <v>-</v>
      </c>
      <c r="Q51" s="89"/>
      <c r="R51" s="86" t="str">
        <f t="shared" si="3"/>
        <v>-</v>
      </c>
      <c r="S51" s="87"/>
      <c r="T51" s="86" t="str">
        <f t="shared" si="4"/>
        <v>-</v>
      </c>
      <c r="U51" s="87"/>
      <c r="AA51" s="49"/>
      <c r="AB51" s="50"/>
      <c r="AC51" s="50"/>
      <c r="AD51" s="50"/>
      <c r="AE51" s="50"/>
      <c r="AF51" s="50"/>
      <c r="AG51" s="50"/>
      <c r="AH51" s="50"/>
      <c r="AI51" s="50"/>
      <c r="AJ51" s="50"/>
      <c r="AK51" s="50"/>
      <c r="AL51" s="50"/>
      <c r="AM51" s="50"/>
      <c r="AN51" s="50"/>
      <c r="AO51" s="50"/>
      <c r="AP51" s="50"/>
      <c r="AQ51" s="50"/>
      <c r="AR51" s="51"/>
      <c r="BA51" t="s">
        <v>9</v>
      </c>
      <c r="BB51" t="str">
        <f>IF(G51="-","-",IFERROR(INDEX('SEC-I norm'!$A$2:$A$60,MATCH(G51,SEC_I_norm[RES-SR_total],1)),20))</f>
        <v>-</v>
      </c>
      <c r="BC51" t="str">
        <f>IF(G51="-","-",IFERROR(INDEX('SEC-I norm'!$A$2:$A$60,MATCH(G51,SEC_I_norm[RES-SR_female],1)),20))</f>
        <v>-</v>
      </c>
      <c r="BD51" t="str">
        <f>IF(G51="-","-",IFERROR(INDEX('SEC-I norm'!$A$2:$A$60,MATCH(G51,SEC_I_norm[RES-SR_male],1)),20))</f>
        <v>-</v>
      </c>
      <c r="BE51" t="str">
        <f>IF(G51="-","-",IFERROR(INDEX('SEC-I norm'!$B$2:$B$60,MATCH(G51,SEC_I_norm[RES-SR_total],1)),20))</f>
        <v>-</v>
      </c>
      <c r="BF51" t="str">
        <f>IF(G51="-","-",IFERROR(INDEX('SEC-I norm'!$B$2:$B$60,MATCH(G51,SEC_I_norm[RES-SR_female],1)),20))</f>
        <v>-</v>
      </c>
      <c r="BG51" t="str">
        <f>IF(G51="-","-",IFERROR(INDEX('SEC-I norm'!$B$2:$B$60,MATCH(G51,SEC_I_norm[RES-SR_male],1)),20))</f>
        <v>-</v>
      </c>
      <c r="BJ51" t="s">
        <v>56</v>
      </c>
      <c r="BK51" t="str">
        <f>IF(P51="-","-",IFERROR(INDEX('SEC-I norm'!$A$2:$A$60,MATCH(P51,SEC_I_norm[RES-OR_total],1)),20))</f>
        <v>-</v>
      </c>
      <c r="BL51" t="str">
        <f>IF(P51="-","-",IFERROR(INDEX('SEC-I norm'!$A$2:$A$60,MATCH(P51,SEC_I_norm[RES-OR_female],1)),20))</f>
        <v>-</v>
      </c>
      <c r="BM51" t="str">
        <f>IF(P51="-","-",IFERROR(INDEX('SEC-I norm'!$A$2:$A$60,MATCH(P51,SEC_I_norm[RES-OR_male],1)),20))</f>
        <v>-</v>
      </c>
      <c r="BN51" t="str">
        <f>IF(P51="-","-",IFERROR(INDEX('SEC-I norm'!$B$2:$B$60,MATCH(P51,SEC_I_norm[RES-OR_total],1)),20))</f>
        <v>-</v>
      </c>
      <c r="BO51" t="str">
        <f>IF(P51="-","-",IFERROR(INDEX('SEC-I norm'!$B$2:$B$60,MATCH(P51,SEC_I_norm[RES-OR_female],1)),20))</f>
        <v>-</v>
      </c>
      <c r="BP51" t="str">
        <f>IF(P51="-","-",IFERROR(INDEX('SEC-I norm'!$B$2:$B$60,MATCH(P51,SEC_I_norm[RES-OR_male],1)),20))</f>
        <v>-</v>
      </c>
    </row>
    <row r="52" spans="4:68" ht="28.35" customHeight="1" x14ac:dyDescent="0.25">
      <c r="D52" s="84" t="s">
        <v>11</v>
      </c>
      <c r="E52" s="85"/>
      <c r="F52" s="7"/>
      <c r="G52" s="88" t="str">
        <f>IF('SEC-I-SR Auswertungsbogen'!BC48=0,'SEC-I-SR Auswertungsbogen'!BB48,"-")</f>
        <v>-</v>
      </c>
      <c r="H52" s="89"/>
      <c r="I52" s="86" t="str">
        <f t="shared" si="1"/>
        <v>-</v>
      </c>
      <c r="J52" s="87"/>
      <c r="K52" s="86" t="str">
        <f t="shared" si="2"/>
        <v>-</v>
      </c>
      <c r="L52" s="87"/>
      <c r="M52" s="84" t="s">
        <v>57</v>
      </c>
      <c r="N52" s="85"/>
      <c r="O52" s="7"/>
      <c r="P52" s="88" t="str">
        <f>IF('SEC-I-OR Auswertungsbogen'!BC48=0,'SEC-I-OR Auswertungsbogen'!BB48,"-")</f>
        <v>-</v>
      </c>
      <c r="Q52" s="89"/>
      <c r="R52" s="86" t="str">
        <f t="shared" si="3"/>
        <v>-</v>
      </c>
      <c r="S52" s="87"/>
      <c r="T52" s="86" t="str">
        <f t="shared" si="4"/>
        <v>-</v>
      </c>
      <c r="U52" s="87"/>
      <c r="BA52" t="s">
        <v>11</v>
      </c>
      <c r="BB52" t="str">
        <f>IF(G52="-","-",IFERROR(INDEX('SEC-I norm'!$A$2:$A$60,MATCH(G52,SEC_I_norm[SOB-SR_total],1)),20))</f>
        <v>-</v>
      </c>
      <c r="BC52" t="str">
        <f>IF(G52="-","-",IFERROR(INDEX('SEC-I norm'!$A$2:$A$60,MATCH(G52,SEC_I_norm[SOB-SR_female],1)),20))</f>
        <v>-</v>
      </c>
      <c r="BD52" t="str">
        <f>IF(G52="-","-",IFERROR(INDEX('SEC-I norm'!$A$2:$A$60,MATCH(G52,SEC_I_norm[SOB-SR_male],1)),20))</f>
        <v>-</v>
      </c>
      <c r="BE52" t="str">
        <f>IF(G52="-","-",IFERROR(INDEX('SEC-I norm'!$B$2:$B$60,MATCH(G52,SEC_I_norm[SOB-SR_total],1)),20))</f>
        <v>-</v>
      </c>
      <c r="BF52" t="str">
        <f>IF(G52="-","-",IFERROR(INDEX('SEC-I norm'!$B$2:$B$60,MATCH(G52,SEC_I_norm[SOB-SR_female],1)),20))</f>
        <v>-</v>
      </c>
      <c r="BG52" t="str">
        <f>IF(G52="-","-",IFERROR(INDEX('SEC-I norm'!$B$2:$B$60,MATCH(G52,SEC_I_norm[SOB-SR_male],1)),20))</f>
        <v>-</v>
      </c>
      <c r="BJ52" t="s">
        <v>57</v>
      </c>
      <c r="BK52" t="str">
        <f>IF(P52="-","-",IFERROR(INDEX('SEC-I norm'!$A$2:$A$60,MATCH(P52,SEC_I_norm[SOB-OR_total],1)),20))</f>
        <v>-</v>
      </c>
      <c r="BL52" t="str">
        <f>IF(P52="-","-",IFERROR(INDEX('SEC-I norm'!$A$2:$A$60,MATCH(P52,SEC_I_norm[SOB-OR_female],1)),20))</f>
        <v>-</v>
      </c>
      <c r="BM52" t="str">
        <f>IF(P52="-","-",IFERROR(INDEX('SEC-I norm'!$A$2:$A$60,MATCH(P52,SEC_I_norm[SOB-OR_male],1)),20))</f>
        <v>-</v>
      </c>
      <c r="BN52" t="str">
        <f>IF(P52="-","-",IFERROR(INDEX('SEC-I norm'!$B$2:$B$60,MATCH(P52,SEC_I_norm[SOB-OR_total],1)),20))</f>
        <v>-</v>
      </c>
      <c r="BO52" t="str">
        <f>IF(P52="-","-",IFERROR(INDEX('SEC-I norm'!$B$2:$B$60,MATCH(P52,SEC_I_norm[SOB-OR_female],1)),20))</f>
        <v>-</v>
      </c>
      <c r="BP52" t="str">
        <f>IF(P52="-","-",IFERROR(INDEX('SEC-I norm'!$B$2:$B$60,MATCH(P52,SEC_I_norm[SOB-OR_male],1)),20))</f>
        <v>-</v>
      </c>
    </row>
    <row r="53" spans="4:68" ht="28.35" customHeight="1" x14ac:dyDescent="0.25">
      <c r="D53" s="84" t="s">
        <v>12</v>
      </c>
      <c r="E53" s="85"/>
      <c r="F53" s="7"/>
      <c r="G53" s="88" t="str">
        <f>IF('SEC-I-SR Auswertungsbogen'!BC49=0,'SEC-I-SR Auswertungsbogen'!BB49,"-")</f>
        <v>-</v>
      </c>
      <c r="H53" s="89"/>
      <c r="I53" s="86" t="str">
        <f t="shared" si="1"/>
        <v>-</v>
      </c>
      <c r="J53" s="87"/>
      <c r="K53" s="86" t="str">
        <f t="shared" si="2"/>
        <v>-</v>
      </c>
      <c r="L53" s="87"/>
      <c r="M53" s="84" t="s">
        <v>58</v>
      </c>
      <c r="N53" s="85"/>
      <c r="O53" s="7"/>
      <c r="P53" s="88" t="str">
        <f>IF('SEC-I-OR Auswertungsbogen'!BC49=0,'SEC-I-OR Auswertungsbogen'!BB49,"-")</f>
        <v>-</v>
      </c>
      <c r="Q53" s="89"/>
      <c r="R53" s="86" t="str">
        <f t="shared" si="3"/>
        <v>-</v>
      </c>
      <c r="S53" s="87"/>
      <c r="T53" s="86" t="str">
        <f t="shared" si="4"/>
        <v>-</v>
      </c>
      <c r="U53" s="87"/>
      <c r="BA53" t="s">
        <v>12</v>
      </c>
      <c r="BB53" t="str">
        <f>IF(G53="-","-",IFERROR(INDEX('SEC-I norm'!$A$2:$A$60,MATCH(G53,SEC_I_norm[SON-SR_total],1)),20))</f>
        <v>-</v>
      </c>
      <c r="BC53" t="str">
        <f>IF(G53="-","-",IFERROR(INDEX('SEC-I norm'!$A$2:$A$60,MATCH(G53,SEC_I_norm[SON-SR_female],1)),20))</f>
        <v>-</v>
      </c>
      <c r="BD53" t="str">
        <f>IF(G53="-","-",IFERROR(INDEX('SEC-I norm'!$A$2:$A$60,MATCH(G53,SEC_I_norm[SON-SR_male],1)),20))</f>
        <v>-</v>
      </c>
      <c r="BE53" t="str">
        <f>IF(G53="-","-",IFERROR(INDEX('SEC-I norm'!$B$2:$B$60,MATCH(G53,SEC_I_norm[SON-SR_total],1)),20))</f>
        <v>-</v>
      </c>
      <c r="BF53" t="str">
        <f>IF(G53="-","-",IFERROR(INDEX('SEC-I norm'!$B$2:$B$60,MATCH(G53,SEC_I_norm[SON-SR_female],1)),20))</f>
        <v>-</v>
      </c>
      <c r="BG53" t="str">
        <f>IF(G53="-","-",IFERROR(INDEX('SEC-I norm'!$B$2:$B$60,MATCH(G53,SEC_I_norm[SON-SR_male],1)),20))</f>
        <v>-</v>
      </c>
      <c r="BJ53" t="s">
        <v>58</v>
      </c>
      <c r="BK53" t="str">
        <f>IF(P53="-","-",IFERROR(INDEX('SEC-I norm'!$A$2:$A$60,MATCH(P53,SEC_I_norm[SON-OR_total],1)),20))</f>
        <v>-</v>
      </c>
      <c r="BL53" t="str">
        <f>IF(P53="-","-",IFERROR(INDEX('SEC-I norm'!$A$2:$A$60,MATCH(P53,SEC_I_norm[SON-OR_female],1)),20))</f>
        <v>-</v>
      </c>
      <c r="BM53" t="str">
        <f>IF(P53="-","-",IFERROR(INDEX('SEC-I norm'!$A$2:$A$60,MATCH(P53,SEC_I_norm[SON-OR_male],1)),20))</f>
        <v>-</v>
      </c>
      <c r="BN53" t="str">
        <f>IF(P53="-","-",IFERROR(INDEX('SEC-I norm'!$B$2:$B$60,MATCH(P53,SEC_I_norm[SON-OR_total],1)),20))</f>
        <v>-</v>
      </c>
      <c r="BO53" t="str">
        <f>IF(P53="-","-",IFERROR(INDEX('SEC-I norm'!$B$2:$B$60,MATCH(P53,SEC_I_norm[SON-OR_female],1)),20))</f>
        <v>-</v>
      </c>
      <c r="BP53" t="str">
        <f>IF(P53="-","-",IFERROR(INDEX('SEC-I norm'!$B$2:$B$60,MATCH(P53,SEC_I_norm[SON-OR_male],1)),20))</f>
        <v>-</v>
      </c>
    </row>
    <row r="54" spans="4:68" ht="28.35" customHeight="1" x14ac:dyDescent="0.25"/>
    <row r="55" spans="4:68" ht="28.35" customHeight="1" x14ac:dyDescent="0.25"/>
    <row r="56" spans="4:68" ht="28.35" customHeight="1" x14ac:dyDescent="0.25"/>
    <row r="57" spans="4:68" ht="28.35" customHeight="1" x14ac:dyDescent="0.25"/>
    <row r="58" spans="4:68" ht="28.35" customHeight="1" x14ac:dyDescent="0.25"/>
    <row r="59" spans="4:68" ht="28.35" customHeight="1" x14ac:dyDescent="0.25"/>
    <row r="60" spans="4:68" ht="28.35" customHeight="1" x14ac:dyDescent="0.25">
      <c r="M60" s="20" t="s">
        <v>170</v>
      </c>
      <c r="AJ60" s="20" t="s">
        <v>172</v>
      </c>
    </row>
    <row r="61" spans="4:68" ht="28.35" customHeight="1" x14ac:dyDescent="0.25"/>
    <row r="62" spans="4:68" ht="28.35" customHeight="1" x14ac:dyDescent="0.25"/>
  </sheetData>
  <sheetProtection algorithmName="SHA-512" hashValue="sM6xxW2CyXuOkpHnxzDvev8WqotQJ6nnTyLujw53EVmGRjiofsLkAHdzdz97ijw7aUbPHdAsfmGP1U7O5u59/g==" saltValue="vnolKZ7gKxNoQS9mZXTxRA==" spinCount="100000" sheet="1" objects="1" scenarios="1" selectLockedCells="1"/>
  <mergeCells count="130">
    <mergeCell ref="D38:L38"/>
    <mergeCell ref="D40:L40"/>
    <mergeCell ref="AA38:AI38"/>
    <mergeCell ref="M40:R40"/>
    <mergeCell ref="M11:R11"/>
    <mergeCell ref="M12:R12"/>
    <mergeCell ref="M14:R14"/>
    <mergeCell ref="M15:R15"/>
    <mergeCell ref="M20:R20"/>
    <mergeCell ref="M21:R21"/>
    <mergeCell ref="M13:R13"/>
    <mergeCell ref="E21:L21"/>
    <mergeCell ref="E22:L22"/>
    <mergeCell ref="E23:L23"/>
    <mergeCell ref="M22:R22"/>
    <mergeCell ref="M23:R23"/>
    <mergeCell ref="E11:L11"/>
    <mergeCell ref="E12:L12"/>
    <mergeCell ref="E13:L13"/>
    <mergeCell ref="E14:L14"/>
    <mergeCell ref="E15:L15"/>
    <mergeCell ref="E17:L17"/>
    <mergeCell ref="E19:L19"/>
    <mergeCell ref="E20:L20"/>
    <mergeCell ref="M52:N52"/>
    <mergeCell ref="M53:N53"/>
    <mergeCell ref="M42:N42"/>
    <mergeCell ref="M43:N43"/>
    <mergeCell ref="D50:E50"/>
    <mergeCell ref="D51:E51"/>
    <mergeCell ref="D52:E52"/>
    <mergeCell ref="D53:E53"/>
    <mergeCell ref="M44:N44"/>
    <mergeCell ref="M45:N45"/>
    <mergeCell ref="M46:N46"/>
    <mergeCell ref="M47:N47"/>
    <mergeCell ref="M48:N48"/>
    <mergeCell ref="M49:N49"/>
    <mergeCell ref="K51:L51"/>
    <mergeCell ref="K52:L52"/>
    <mergeCell ref="K53:L53"/>
    <mergeCell ref="G48:H48"/>
    <mergeCell ref="G49:H49"/>
    <mergeCell ref="G51:H51"/>
    <mergeCell ref="G50:H50"/>
    <mergeCell ref="G52:H52"/>
    <mergeCell ref="I51:J51"/>
    <mergeCell ref="M50:N50"/>
    <mergeCell ref="T51:U51"/>
    <mergeCell ref="T52:U52"/>
    <mergeCell ref="T53:U53"/>
    <mergeCell ref="D43:E43"/>
    <mergeCell ref="D44:E44"/>
    <mergeCell ref="D45:E45"/>
    <mergeCell ref="D46:E46"/>
    <mergeCell ref="D47:E47"/>
    <mergeCell ref="D48:E48"/>
    <mergeCell ref="D49:E49"/>
    <mergeCell ref="R51:S51"/>
    <mergeCell ref="R52:S52"/>
    <mergeCell ref="R53:S53"/>
    <mergeCell ref="T44:U44"/>
    <mergeCell ref="T45:U45"/>
    <mergeCell ref="T46:U46"/>
    <mergeCell ref="T47:U47"/>
    <mergeCell ref="T48:U48"/>
    <mergeCell ref="T49:U49"/>
    <mergeCell ref="T50:U50"/>
    <mergeCell ref="P51:Q51"/>
    <mergeCell ref="P52:Q52"/>
    <mergeCell ref="P53:Q53"/>
    <mergeCell ref="R44:S44"/>
    <mergeCell ref="K48:L48"/>
    <mergeCell ref="K49:L49"/>
    <mergeCell ref="K50:L50"/>
    <mergeCell ref="I46:J46"/>
    <mergeCell ref="I47:J47"/>
    <mergeCell ref="I48:J48"/>
    <mergeCell ref="I49:J49"/>
    <mergeCell ref="I50:J50"/>
    <mergeCell ref="R45:S45"/>
    <mergeCell ref="R46:S46"/>
    <mergeCell ref="R47:S47"/>
    <mergeCell ref="R48:S48"/>
    <mergeCell ref="R49:S49"/>
    <mergeCell ref="R50:S50"/>
    <mergeCell ref="P45:Q45"/>
    <mergeCell ref="P46:Q46"/>
    <mergeCell ref="P47:Q47"/>
    <mergeCell ref="P48:Q48"/>
    <mergeCell ref="P49:Q49"/>
    <mergeCell ref="P50:Q50"/>
    <mergeCell ref="G53:H53"/>
    <mergeCell ref="D42:E42"/>
    <mergeCell ref="G43:H43"/>
    <mergeCell ref="G44:H44"/>
    <mergeCell ref="G45:H45"/>
    <mergeCell ref="G46:H46"/>
    <mergeCell ref="G47:H47"/>
    <mergeCell ref="G42:H42"/>
    <mergeCell ref="I42:J42"/>
    <mergeCell ref="I43:J43"/>
    <mergeCell ref="I44:J44"/>
    <mergeCell ref="I45:J45"/>
    <mergeCell ref="I52:J52"/>
    <mergeCell ref="I53:J53"/>
    <mergeCell ref="AA41:AR51"/>
    <mergeCell ref="AB7:AJ7"/>
    <mergeCell ref="AB9:AJ9"/>
    <mergeCell ref="AK9:AP9"/>
    <mergeCell ref="AG26:AM26"/>
    <mergeCell ref="AB10:AJ10"/>
    <mergeCell ref="AK10:AP10"/>
    <mergeCell ref="M7:R7"/>
    <mergeCell ref="E7:L7"/>
    <mergeCell ref="E9:L9"/>
    <mergeCell ref="K42:L42"/>
    <mergeCell ref="P42:Q42"/>
    <mergeCell ref="R42:S42"/>
    <mergeCell ref="T42:U42"/>
    <mergeCell ref="P43:Q43"/>
    <mergeCell ref="R43:S43"/>
    <mergeCell ref="T43:U43"/>
    <mergeCell ref="P44:Q44"/>
    <mergeCell ref="K43:L43"/>
    <mergeCell ref="M51:N51"/>
    <mergeCell ref="K44:L44"/>
    <mergeCell ref="K45:L45"/>
    <mergeCell ref="K46:L46"/>
    <mergeCell ref="K47:L47"/>
  </mergeCells>
  <dataValidations count="4">
    <dataValidation type="list" showInputMessage="1" showErrorMessage="1" errorTitle="Norm" error="Bitte wählen Sie eine gültige Norm." sqref="M40:R40">
      <formula1>$BE$10:$BE$13</formula1>
    </dataValidation>
    <dataValidation type="list" showInputMessage="1" showErrorMessage="1" errorTitle="Vertrauenswahrscheinlichkeit" error="Bitte wählen Sie eine gültige Vertrauenswahrscheinlichkeit." sqref="AK9:AP9">
      <formula1>$BG$10:$BG$18</formula1>
    </dataValidation>
    <dataValidation type="list" showInputMessage="1" showErrorMessage="1" errorTitle="Werteversatz" error="Bitte wählen Sie einen gültigen Werteversatz." sqref="AK10:AP10">
      <formula1>$BJ$10:$BJ$12</formula1>
    </dataValidation>
    <dataValidation type="date" operator="greaterThan" allowBlank="1" showInputMessage="1" showErrorMessage="1" errorTitle="Datum" error="Bitte geben Sie ein gültiges Datum ein." sqref="M7:R7">
      <formula1>44042</formula1>
    </dataValidation>
  </dataValidations>
  <printOptions horizontalCentered="1" verticalCentered="1"/>
  <pageMargins left="0" right="0" top="0" bottom="0" header="0" footer="0"/>
  <pageSetup paperSize="9" scale="90" orientation="portrait" r:id="rId1"/>
  <rowBreaks count="1" manualBreakCount="1">
    <brk id="31" min="1" max="46" man="1"/>
  </rowBreaks>
  <colBreaks count="1" manualBreakCount="1">
    <brk id="24" max="61"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2"/>
  <sheetViews>
    <sheetView zoomScale="80" zoomScaleNormal="80" workbookViewId="0"/>
  </sheetViews>
  <sheetFormatPr baseColWidth="10" defaultRowHeight="15" x14ac:dyDescent="0.25"/>
  <sheetData>
    <row r="2" spans="2:10" x14ac:dyDescent="0.25">
      <c r="B2" s="13" t="s">
        <v>148</v>
      </c>
      <c r="E2" s="13" t="s">
        <v>153</v>
      </c>
      <c r="H2" s="13" t="s">
        <v>163</v>
      </c>
    </row>
    <row r="3" spans="2:10" x14ac:dyDescent="0.25">
      <c r="B3" t="s">
        <v>133</v>
      </c>
      <c r="C3">
        <v>50</v>
      </c>
      <c r="E3" t="s">
        <v>156</v>
      </c>
      <c r="F3">
        <f>IF(ISNUMBER(SEARCH("99%",Profilbogen!AK9)),0.01,IF(ISNUMBER(SEARCH("95%",Profilbogen!AK9)),0.05,IF(ISNUMBER(SEARCH("90%",Profilbogen!AK9)),0.1,IF(ISNUMBER(SEARCH("68%",Profilbogen!AK9)),0.32,"-"))))</f>
        <v>0.05</v>
      </c>
      <c r="H3" t="s">
        <v>164</v>
      </c>
      <c r="I3">
        <f>IF(Profilbogen!AK10="minimal",0.05,IF(Profilbogen!AK10="maximal",0.25,0))</f>
        <v>0.25</v>
      </c>
    </row>
    <row r="4" spans="2:10" x14ac:dyDescent="0.25">
      <c r="B4" t="s">
        <v>147</v>
      </c>
      <c r="C4">
        <v>10</v>
      </c>
      <c r="E4" t="s">
        <v>155</v>
      </c>
      <c r="F4">
        <f>IF(ISNUMBER(SEARCH("zweiseitig",Profilbogen!AK9)),2,IF(ISNUMBER(SEARCH("einseitig",Profilbogen!AK9)),1,"-"))</f>
        <v>2</v>
      </c>
    </row>
    <row r="6" spans="2:10" x14ac:dyDescent="0.25">
      <c r="B6" s="13" t="s">
        <v>150</v>
      </c>
      <c r="E6" s="13" t="s">
        <v>162</v>
      </c>
      <c r="H6" s="13" t="s">
        <v>163</v>
      </c>
    </row>
    <row r="7" spans="2:10" x14ac:dyDescent="0.25">
      <c r="B7" t="s">
        <v>61</v>
      </c>
      <c r="E7" t="s">
        <v>136</v>
      </c>
      <c r="F7" t="s">
        <v>137</v>
      </c>
      <c r="H7">
        <v>1</v>
      </c>
      <c r="I7">
        <f t="shared" ref="I7:I15" si="0">H7-($I$3/2)</f>
        <v>0.875</v>
      </c>
      <c r="J7">
        <f t="shared" ref="J7:J15" si="1">H7+($I$3/2)</f>
        <v>1.125</v>
      </c>
    </row>
    <row r="8" spans="2:10" x14ac:dyDescent="0.25">
      <c r="B8" t="s">
        <v>62</v>
      </c>
      <c r="E8">
        <f t="shared" ref="E8:E16" si="2">$C$3-$C$4</f>
        <v>40</v>
      </c>
      <c r="F8">
        <f t="shared" ref="F8:F16" si="3">$C$3+$C$4</f>
        <v>60</v>
      </c>
      <c r="H8">
        <v>2</v>
      </c>
      <c r="I8">
        <f t="shared" si="0"/>
        <v>1.875</v>
      </c>
      <c r="J8">
        <f t="shared" si="1"/>
        <v>2.125</v>
      </c>
    </row>
    <row r="9" spans="2:10" x14ac:dyDescent="0.25">
      <c r="B9" t="s">
        <v>63</v>
      </c>
      <c r="E9">
        <f t="shared" si="2"/>
        <v>40</v>
      </c>
      <c r="F9">
        <f t="shared" si="3"/>
        <v>60</v>
      </c>
      <c r="H9">
        <v>3</v>
      </c>
      <c r="I9">
        <f t="shared" si="0"/>
        <v>2.875</v>
      </c>
      <c r="J9">
        <f t="shared" si="1"/>
        <v>3.125</v>
      </c>
    </row>
    <row r="10" spans="2:10" x14ac:dyDescent="0.25">
      <c r="B10" t="s">
        <v>64</v>
      </c>
      <c r="E10">
        <f t="shared" si="2"/>
        <v>40</v>
      </c>
      <c r="F10">
        <f t="shared" si="3"/>
        <v>60</v>
      </c>
      <c r="H10">
        <v>4</v>
      </c>
      <c r="I10">
        <f t="shared" si="0"/>
        <v>3.875</v>
      </c>
      <c r="J10">
        <f t="shared" si="1"/>
        <v>4.125</v>
      </c>
    </row>
    <row r="11" spans="2:10" x14ac:dyDescent="0.25">
      <c r="B11" t="s">
        <v>65</v>
      </c>
      <c r="E11">
        <f t="shared" si="2"/>
        <v>40</v>
      </c>
      <c r="F11">
        <f t="shared" si="3"/>
        <v>60</v>
      </c>
      <c r="H11">
        <v>5</v>
      </c>
      <c r="I11">
        <f t="shared" si="0"/>
        <v>4.875</v>
      </c>
      <c r="J11">
        <f t="shared" si="1"/>
        <v>5.125</v>
      </c>
    </row>
    <row r="12" spans="2:10" x14ac:dyDescent="0.25">
      <c r="B12" t="s">
        <v>66</v>
      </c>
      <c r="E12">
        <f t="shared" si="2"/>
        <v>40</v>
      </c>
      <c r="F12">
        <f t="shared" si="3"/>
        <v>60</v>
      </c>
      <c r="H12">
        <v>6</v>
      </c>
      <c r="I12">
        <f t="shared" si="0"/>
        <v>5.875</v>
      </c>
      <c r="J12">
        <f t="shared" si="1"/>
        <v>6.125</v>
      </c>
    </row>
    <row r="13" spans="2:10" x14ac:dyDescent="0.25">
      <c r="B13" t="s">
        <v>67</v>
      </c>
      <c r="E13">
        <f t="shared" si="2"/>
        <v>40</v>
      </c>
      <c r="F13">
        <f t="shared" si="3"/>
        <v>60</v>
      </c>
      <c r="H13">
        <v>7</v>
      </c>
      <c r="I13">
        <f t="shared" si="0"/>
        <v>6.875</v>
      </c>
      <c r="J13">
        <f t="shared" si="1"/>
        <v>7.125</v>
      </c>
    </row>
    <row r="14" spans="2:10" x14ac:dyDescent="0.25">
      <c r="B14" t="s">
        <v>68</v>
      </c>
      <c r="E14">
        <f t="shared" si="2"/>
        <v>40</v>
      </c>
      <c r="F14">
        <f t="shared" si="3"/>
        <v>60</v>
      </c>
      <c r="H14">
        <v>8</v>
      </c>
      <c r="I14">
        <f t="shared" si="0"/>
        <v>7.875</v>
      </c>
      <c r="J14">
        <f t="shared" si="1"/>
        <v>8.125</v>
      </c>
    </row>
    <row r="15" spans="2:10" x14ac:dyDescent="0.25">
      <c r="B15" t="s">
        <v>69</v>
      </c>
      <c r="E15">
        <f t="shared" si="2"/>
        <v>40</v>
      </c>
      <c r="F15">
        <f t="shared" si="3"/>
        <v>60</v>
      </c>
      <c r="H15">
        <v>9</v>
      </c>
      <c r="I15">
        <f t="shared" si="0"/>
        <v>8.875</v>
      </c>
      <c r="J15">
        <f t="shared" si="1"/>
        <v>9.125</v>
      </c>
    </row>
    <row r="16" spans="2:10" x14ac:dyDescent="0.25">
      <c r="E16">
        <f t="shared" si="2"/>
        <v>40</v>
      </c>
      <c r="F16">
        <f t="shared" si="3"/>
        <v>60</v>
      </c>
    </row>
    <row r="17" spans="2:9" x14ac:dyDescent="0.25">
      <c r="B17" s="13" t="s">
        <v>151</v>
      </c>
    </row>
    <row r="18" spans="2:9" x14ac:dyDescent="0.25">
      <c r="B18" t="s">
        <v>210</v>
      </c>
    </row>
    <row r="19" spans="2:9" x14ac:dyDescent="0.25">
      <c r="B19" t="s">
        <v>211</v>
      </c>
    </row>
    <row r="21" spans="2:9" x14ac:dyDescent="0.25">
      <c r="B21" s="13" t="s">
        <v>149</v>
      </c>
      <c r="C21" s="13" t="s">
        <v>134</v>
      </c>
      <c r="D21" s="13" t="s">
        <v>60</v>
      </c>
      <c r="E21" s="15" t="s">
        <v>152</v>
      </c>
      <c r="F21" s="15"/>
      <c r="G21" s="13" t="s">
        <v>135</v>
      </c>
      <c r="H21" s="13" t="s">
        <v>154</v>
      </c>
      <c r="I21" s="13" t="s">
        <v>161</v>
      </c>
    </row>
    <row r="22" spans="2:9" x14ac:dyDescent="0.25">
      <c r="B22" t="s">
        <v>4</v>
      </c>
      <c r="C22">
        <v>0.92400000000000004</v>
      </c>
      <c r="D22" t="e">
        <f>IF(Profilbogen!I45="-",NA(),Profilbogen!I45)</f>
        <v>#N/A</v>
      </c>
      <c r="E22" s="12" t="e">
        <f t="shared" ref="E22:E30" si="4">"["&amp;D22-I22&amp;", "&amp;D22+I22&amp;"]"</f>
        <v>#N/A</v>
      </c>
      <c r="F22" s="12"/>
      <c r="G22" t="e">
        <f>D22</f>
        <v>#N/A</v>
      </c>
      <c r="I22">
        <f t="shared" ref="I22:I30" si="5">ROUND(_xlfn.NORM.S.INV(1-($F$3/$F$4))*$C$4*SQRT(1-$C22),0)</f>
        <v>5</v>
      </c>
    </row>
    <row r="23" spans="2:9" x14ac:dyDescent="0.25">
      <c r="B23" t="s">
        <v>5</v>
      </c>
      <c r="C23">
        <v>0.79800000000000004</v>
      </c>
      <c r="D23" t="e">
        <f>IF(Profilbogen!I46="-",NA(),Profilbogen!I46)</f>
        <v>#N/A</v>
      </c>
      <c r="E23" s="12" t="e">
        <f t="shared" si="4"/>
        <v>#N/A</v>
      </c>
      <c r="F23" s="12"/>
      <c r="H23" t="e">
        <f>D23</f>
        <v>#N/A</v>
      </c>
      <c r="I23">
        <f t="shared" si="5"/>
        <v>9</v>
      </c>
    </row>
    <row r="24" spans="2:9" x14ac:dyDescent="0.25">
      <c r="B24" t="s">
        <v>6</v>
      </c>
      <c r="C24">
        <v>0.75</v>
      </c>
      <c r="D24" t="e">
        <f>IF(Profilbogen!I47="-",NA(),Profilbogen!I47)</f>
        <v>#N/A</v>
      </c>
      <c r="E24" s="12" t="e">
        <f t="shared" si="4"/>
        <v>#N/A</v>
      </c>
      <c r="F24" s="12"/>
      <c r="H24" t="e">
        <f t="shared" ref="H24:H30" si="6">D24</f>
        <v>#N/A</v>
      </c>
      <c r="I24">
        <f t="shared" si="5"/>
        <v>10</v>
      </c>
    </row>
    <row r="25" spans="2:9" x14ac:dyDescent="0.25">
      <c r="B25" t="s">
        <v>7</v>
      </c>
      <c r="C25">
        <v>0.74</v>
      </c>
      <c r="D25" t="e">
        <f>IF(Profilbogen!I48="-",NA(),Profilbogen!I48)</f>
        <v>#N/A</v>
      </c>
      <c r="E25" s="12" t="e">
        <f t="shared" si="4"/>
        <v>#N/A</v>
      </c>
      <c r="F25" s="12"/>
      <c r="H25" t="e">
        <f t="shared" si="6"/>
        <v>#N/A</v>
      </c>
      <c r="I25">
        <f t="shared" si="5"/>
        <v>10</v>
      </c>
    </row>
    <row r="26" spans="2:9" x14ac:dyDescent="0.25">
      <c r="B26" t="s">
        <v>8</v>
      </c>
      <c r="C26">
        <v>0.76700000000000002</v>
      </c>
      <c r="D26" t="e">
        <f>IF(Profilbogen!I49="-",NA(),Profilbogen!I49)</f>
        <v>#N/A</v>
      </c>
      <c r="E26" s="12" t="e">
        <f t="shared" si="4"/>
        <v>#N/A</v>
      </c>
      <c r="F26" s="12"/>
      <c r="H26" t="e">
        <f t="shared" si="6"/>
        <v>#N/A</v>
      </c>
      <c r="I26">
        <f t="shared" si="5"/>
        <v>9</v>
      </c>
    </row>
    <row r="27" spans="2:9" x14ac:dyDescent="0.25">
      <c r="B27" t="s">
        <v>10</v>
      </c>
      <c r="C27">
        <v>0.81699999999999995</v>
      </c>
      <c r="D27" t="e">
        <f>IF(Profilbogen!I50="-",NA(),Profilbogen!I50)</f>
        <v>#N/A</v>
      </c>
      <c r="E27" s="12" t="e">
        <f t="shared" si="4"/>
        <v>#N/A</v>
      </c>
      <c r="F27" s="12"/>
      <c r="H27" t="e">
        <f t="shared" si="6"/>
        <v>#N/A</v>
      </c>
      <c r="I27">
        <f t="shared" si="5"/>
        <v>8</v>
      </c>
    </row>
    <row r="28" spans="2:9" x14ac:dyDescent="0.25">
      <c r="B28" t="s">
        <v>9</v>
      </c>
      <c r="C28">
        <v>0.749</v>
      </c>
      <c r="D28" t="e">
        <f>IF(Profilbogen!I51="-",NA(),Profilbogen!I51)</f>
        <v>#N/A</v>
      </c>
      <c r="E28" s="12" t="e">
        <f t="shared" si="4"/>
        <v>#N/A</v>
      </c>
      <c r="F28" s="12"/>
      <c r="H28" t="e">
        <f t="shared" si="6"/>
        <v>#N/A</v>
      </c>
      <c r="I28">
        <f t="shared" si="5"/>
        <v>10</v>
      </c>
    </row>
    <row r="29" spans="2:9" x14ac:dyDescent="0.25">
      <c r="B29" t="s">
        <v>11</v>
      </c>
      <c r="C29">
        <v>0.76900000000000002</v>
      </c>
      <c r="D29" t="e">
        <f>IF(Profilbogen!I52="-",NA(),Profilbogen!I52)</f>
        <v>#N/A</v>
      </c>
      <c r="E29" s="12" t="e">
        <f t="shared" si="4"/>
        <v>#N/A</v>
      </c>
      <c r="F29" s="12"/>
      <c r="H29" t="e">
        <f t="shared" si="6"/>
        <v>#N/A</v>
      </c>
      <c r="I29">
        <f t="shared" si="5"/>
        <v>9</v>
      </c>
    </row>
    <row r="30" spans="2:9" x14ac:dyDescent="0.25">
      <c r="B30" t="s">
        <v>12</v>
      </c>
      <c r="C30">
        <v>0.68300000000000005</v>
      </c>
      <c r="D30" t="e">
        <f>IF(Profilbogen!I53="-",NA(),Profilbogen!I53)</f>
        <v>#N/A</v>
      </c>
      <c r="E30" s="12" t="e">
        <f t="shared" si="4"/>
        <v>#N/A</v>
      </c>
      <c r="F30" s="12"/>
      <c r="H30" t="e">
        <f t="shared" si="6"/>
        <v>#N/A</v>
      </c>
      <c r="I30">
        <f t="shared" si="5"/>
        <v>11</v>
      </c>
    </row>
    <row r="31" spans="2:9" x14ac:dyDescent="0.25">
      <c r="E31" s="12"/>
      <c r="F31" s="12"/>
    </row>
    <row r="32" spans="2:9" x14ac:dyDescent="0.25">
      <c r="E32" s="12"/>
      <c r="F32" s="12"/>
    </row>
    <row r="33" spans="2:9" x14ac:dyDescent="0.25">
      <c r="B33" s="13" t="s">
        <v>149</v>
      </c>
      <c r="C33" s="13" t="s">
        <v>134</v>
      </c>
      <c r="D33" s="13" t="s">
        <v>60</v>
      </c>
      <c r="E33" s="15"/>
      <c r="F33" s="15"/>
      <c r="G33" s="13" t="s">
        <v>135</v>
      </c>
      <c r="H33" s="13" t="s">
        <v>154</v>
      </c>
      <c r="I33" s="13" t="s">
        <v>161</v>
      </c>
    </row>
    <row r="34" spans="2:9" x14ac:dyDescent="0.25">
      <c r="B34" t="s">
        <v>50</v>
      </c>
      <c r="C34">
        <v>0.96099999999999997</v>
      </c>
      <c r="D34" t="e">
        <f>IF(Profilbogen!R45="-",NA(),Profilbogen!R45)</f>
        <v>#N/A</v>
      </c>
      <c r="E34" s="12" t="e">
        <f t="shared" ref="E34:E42" si="7">"["&amp;D34-I34&amp;", "&amp;D34+I34&amp;"]"</f>
        <v>#N/A</v>
      </c>
      <c r="F34" s="12"/>
      <c r="G34" t="e">
        <f>D34</f>
        <v>#N/A</v>
      </c>
      <c r="I34">
        <f t="shared" ref="I34:I42" si="8">ROUND(_xlfn.NORM.S.INV(1-($F$3/$F$4))*$C$4*SQRT(1-$C34),0)</f>
        <v>4</v>
      </c>
    </row>
    <row r="35" spans="2:9" x14ac:dyDescent="0.25">
      <c r="B35" t="s">
        <v>51</v>
      </c>
      <c r="C35">
        <v>0.86499999999999999</v>
      </c>
      <c r="D35" t="e">
        <f>IF(Profilbogen!R46="-",NA(),Profilbogen!R46)</f>
        <v>#N/A</v>
      </c>
      <c r="E35" s="12" t="e">
        <f t="shared" si="7"/>
        <v>#N/A</v>
      </c>
      <c r="F35" s="12"/>
      <c r="H35" t="e">
        <f>D35</f>
        <v>#N/A</v>
      </c>
      <c r="I35">
        <f t="shared" si="8"/>
        <v>7</v>
      </c>
    </row>
    <row r="36" spans="2:9" x14ac:dyDescent="0.25">
      <c r="B36" t="s">
        <v>52</v>
      </c>
      <c r="C36">
        <v>0.873</v>
      </c>
      <c r="D36" t="e">
        <f>IF(Profilbogen!R47="-",NA(),Profilbogen!R47)</f>
        <v>#N/A</v>
      </c>
      <c r="E36" s="12" t="e">
        <f t="shared" si="7"/>
        <v>#N/A</v>
      </c>
      <c r="F36" s="12"/>
      <c r="H36" t="e">
        <f t="shared" ref="H36:H42" si="9">D36</f>
        <v>#N/A</v>
      </c>
      <c r="I36">
        <f t="shared" si="8"/>
        <v>7</v>
      </c>
    </row>
    <row r="37" spans="2:9" x14ac:dyDescent="0.25">
      <c r="B37" t="s">
        <v>53</v>
      </c>
      <c r="C37">
        <v>0.83199999999999996</v>
      </c>
      <c r="D37" t="e">
        <f>IF(Profilbogen!R48="-",NA(),Profilbogen!R48)</f>
        <v>#N/A</v>
      </c>
      <c r="E37" s="12" t="e">
        <f t="shared" si="7"/>
        <v>#N/A</v>
      </c>
      <c r="F37" s="12"/>
      <c r="H37" t="e">
        <f t="shared" si="9"/>
        <v>#N/A</v>
      </c>
      <c r="I37">
        <f t="shared" si="8"/>
        <v>8</v>
      </c>
    </row>
    <row r="38" spans="2:9" x14ac:dyDescent="0.25">
      <c r="B38" t="s">
        <v>54</v>
      </c>
      <c r="C38">
        <v>0.81399999999999995</v>
      </c>
      <c r="D38" t="e">
        <f>IF(Profilbogen!R49="-",NA(),Profilbogen!R49)</f>
        <v>#N/A</v>
      </c>
      <c r="E38" s="12" t="e">
        <f t="shared" si="7"/>
        <v>#N/A</v>
      </c>
      <c r="F38" s="12"/>
      <c r="H38" t="e">
        <f t="shared" si="9"/>
        <v>#N/A</v>
      </c>
      <c r="I38">
        <f t="shared" si="8"/>
        <v>8</v>
      </c>
    </row>
    <row r="39" spans="2:9" x14ac:dyDescent="0.25">
      <c r="B39" t="s">
        <v>55</v>
      </c>
      <c r="C39">
        <v>0.91200000000000003</v>
      </c>
      <c r="D39" t="e">
        <f>IF(Profilbogen!R50="-",NA(),Profilbogen!R50)</f>
        <v>#N/A</v>
      </c>
      <c r="E39" s="12" t="e">
        <f t="shared" si="7"/>
        <v>#N/A</v>
      </c>
      <c r="F39" s="12"/>
      <c r="H39" t="e">
        <f t="shared" si="9"/>
        <v>#N/A</v>
      </c>
      <c r="I39">
        <f t="shared" si="8"/>
        <v>6</v>
      </c>
    </row>
    <row r="40" spans="2:9" x14ac:dyDescent="0.25">
      <c r="B40" t="s">
        <v>56</v>
      </c>
      <c r="C40">
        <v>0.84099999999999997</v>
      </c>
      <c r="D40" t="e">
        <f>IF(Profilbogen!R51="-",NA(),Profilbogen!R51)</f>
        <v>#N/A</v>
      </c>
      <c r="E40" s="12" t="e">
        <f t="shared" si="7"/>
        <v>#N/A</v>
      </c>
      <c r="F40" s="12"/>
      <c r="H40" t="e">
        <f t="shared" si="9"/>
        <v>#N/A</v>
      </c>
      <c r="I40">
        <f t="shared" si="8"/>
        <v>8</v>
      </c>
    </row>
    <row r="41" spans="2:9" x14ac:dyDescent="0.25">
      <c r="B41" t="s">
        <v>57</v>
      </c>
      <c r="C41">
        <v>0.876</v>
      </c>
      <c r="D41" t="e">
        <f>IF(Profilbogen!R52="-",NA(),Profilbogen!R52)</f>
        <v>#N/A</v>
      </c>
      <c r="E41" s="12" t="e">
        <f t="shared" si="7"/>
        <v>#N/A</v>
      </c>
      <c r="F41" s="12"/>
      <c r="H41" t="e">
        <f t="shared" si="9"/>
        <v>#N/A</v>
      </c>
      <c r="I41">
        <f t="shared" si="8"/>
        <v>7</v>
      </c>
    </row>
    <row r="42" spans="2:9" x14ac:dyDescent="0.25">
      <c r="B42" t="s">
        <v>58</v>
      </c>
      <c r="C42">
        <v>0.85799999999999998</v>
      </c>
      <c r="D42" t="e">
        <f>IF(Profilbogen!R53="-",NA(),Profilbogen!R53)</f>
        <v>#N/A</v>
      </c>
      <c r="E42" s="12" t="e">
        <f t="shared" si="7"/>
        <v>#N/A</v>
      </c>
      <c r="F42" s="12"/>
      <c r="H42" t="e">
        <f t="shared" si="9"/>
        <v>#N/A</v>
      </c>
      <c r="I42">
        <f t="shared" si="8"/>
        <v>7</v>
      </c>
    </row>
  </sheetData>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60"/>
  <sheetViews>
    <sheetView workbookViewId="0">
      <selection activeCell="C7" sqref="C7"/>
    </sheetView>
  </sheetViews>
  <sheetFormatPr baseColWidth="10" defaultRowHeight="15" x14ac:dyDescent="0.25"/>
  <cols>
    <col min="3" max="3" width="14.28515625" customWidth="1"/>
    <col min="4" max="4" width="16.42578125" customWidth="1"/>
    <col min="5" max="5" width="14.5703125" customWidth="1"/>
    <col min="6" max="6" width="14.7109375" customWidth="1"/>
    <col min="7" max="7" width="16.85546875" customWidth="1"/>
    <col min="8" max="8" width="15" customWidth="1"/>
    <col min="9" max="9" width="14.28515625" customWidth="1"/>
    <col min="10" max="10" width="16.42578125" customWidth="1"/>
    <col min="11" max="11" width="14.5703125" customWidth="1"/>
    <col min="12" max="12" width="14.7109375" customWidth="1"/>
    <col min="13" max="13" width="16.85546875" customWidth="1"/>
    <col min="14" max="14" width="15" customWidth="1"/>
    <col min="15" max="15" width="14.7109375" customWidth="1"/>
    <col min="16" max="16" width="16.85546875" customWidth="1"/>
    <col min="17" max="17" width="15" customWidth="1"/>
    <col min="18" max="18" width="15.140625" customWidth="1"/>
    <col min="19" max="19" width="17.28515625" customWidth="1"/>
    <col min="20" max="20" width="15.42578125" customWidth="1"/>
    <col min="21" max="21" width="14.5703125" customWidth="1"/>
    <col min="22" max="22" width="16.7109375" customWidth="1"/>
    <col min="23" max="23" width="14.85546875" customWidth="1"/>
    <col min="24" max="24" width="15" customWidth="1"/>
    <col min="25" max="25" width="17.140625" customWidth="1"/>
    <col min="26" max="26" width="15.28515625" customWidth="1"/>
    <col min="27" max="27" width="14.28515625" customWidth="1"/>
    <col min="28" max="28" width="16.42578125" customWidth="1"/>
    <col min="29" max="29" width="14.5703125" customWidth="1"/>
    <col min="30" max="30" width="14.7109375" customWidth="1"/>
    <col min="31" max="31" width="16.85546875" customWidth="1"/>
    <col min="32" max="32" width="15" customWidth="1"/>
    <col min="33" max="33" width="14.5703125" customWidth="1"/>
    <col min="34" max="34" width="16.7109375" customWidth="1"/>
    <col min="35" max="35" width="14.85546875" customWidth="1"/>
    <col min="36" max="36" width="15" customWidth="1"/>
    <col min="37" max="37" width="17.140625" customWidth="1"/>
    <col min="38" max="38" width="15.28515625" customWidth="1"/>
    <col min="39" max="39" width="14.28515625" customWidth="1"/>
    <col min="40" max="40" width="16.42578125" customWidth="1"/>
    <col min="41" max="41" width="14.5703125" customWidth="1"/>
    <col min="42" max="42" width="14.7109375" customWidth="1"/>
    <col min="43" max="43" width="16.85546875" customWidth="1"/>
    <col min="44" max="44" width="15" customWidth="1"/>
    <col min="45" max="45" width="14.7109375" customWidth="1"/>
    <col min="46" max="46" width="16.85546875" customWidth="1"/>
    <col min="47" max="47" width="15" customWidth="1"/>
    <col min="48" max="48" width="15.140625" customWidth="1"/>
    <col min="49" max="49" width="17.28515625" customWidth="1"/>
    <col min="50" max="50" width="15.42578125" customWidth="1"/>
    <col min="51" max="51" width="15" customWidth="1"/>
    <col min="52" max="52" width="17.140625" customWidth="1"/>
    <col min="53" max="53" width="15.28515625" customWidth="1"/>
    <col min="54" max="54" width="15.42578125" customWidth="1"/>
    <col min="55" max="55" width="17.5703125" customWidth="1"/>
    <col min="56" max="56" width="15.7109375" customWidth="1"/>
  </cols>
  <sheetData>
    <row r="1" spans="1:56" x14ac:dyDescent="0.25">
      <c r="A1" t="s">
        <v>60</v>
      </c>
      <c r="B1" t="s">
        <v>14</v>
      </c>
      <c r="C1" t="s">
        <v>74</v>
      </c>
      <c r="D1" t="s">
        <v>75</v>
      </c>
      <c r="E1" t="s">
        <v>76</v>
      </c>
      <c r="F1" t="s">
        <v>77</v>
      </c>
      <c r="G1" t="s">
        <v>78</v>
      </c>
      <c r="H1" t="s">
        <v>79</v>
      </c>
      <c r="I1" t="s">
        <v>80</v>
      </c>
      <c r="J1" t="s">
        <v>81</v>
      </c>
      <c r="K1" t="s">
        <v>82</v>
      </c>
      <c r="L1" t="s">
        <v>83</v>
      </c>
      <c r="M1" t="s">
        <v>84</v>
      </c>
      <c r="N1" t="s">
        <v>85</v>
      </c>
      <c r="O1" t="s">
        <v>86</v>
      </c>
      <c r="P1" t="s">
        <v>87</v>
      </c>
      <c r="Q1" t="s">
        <v>88</v>
      </c>
      <c r="R1" t="s">
        <v>89</v>
      </c>
      <c r="S1" t="s">
        <v>90</v>
      </c>
      <c r="T1" t="s">
        <v>91</v>
      </c>
      <c r="U1" t="s">
        <v>92</v>
      </c>
      <c r="V1" t="s">
        <v>93</v>
      </c>
      <c r="W1" t="s">
        <v>94</v>
      </c>
      <c r="X1" t="s">
        <v>95</v>
      </c>
      <c r="Y1" t="s">
        <v>96</v>
      </c>
      <c r="Z1" t="s">
        <v>97</v>
      </c>
      <c r="AA1" t="s">
        <v>98</v>
      </c>
      <c r="AB1" t="s">
        <v>99</v>
      </c>
      <c r="AC1" t="s">
        <v>100</v>
      </c>
      <c r="AD1" t="s">
        <v>101</v>
      </c>
      <c r="AE1" t="s">
        <v>102</v>
      </c>
      <c r="AF1" t="s">
        <v>103</v>
      </c>
      <c r="AG1" t="s">
        <v>104</v>
      </c>
      <c r="AH1" t="s">
        <v>105</v>
      </c>
      <c r="AI1" t="s">
        <v>106</v>
      </c>
      <c r="AJ1" t="s">
        <v>107</v>
      </c>
      <c r="AK1" t="s">
        <v>108</v>
      </c>
      <c r="AL1" t="s">
        <v>109</v>
      </c>
      <c r="AM1" t="s">
        <v>110</v>
      </c>
      <c r="AN1" t="s">
        <v>111</v>
      </c>
      <c r="AO1" t="s">
        <v>112</v>
      </c>
      <c r="AP1" t="s">
        <v>113</v>
      </c>
      <c r="AQ1" t="s">
        <v>114</v>
      </c>
      <c r="AR1" t="s">
        <v>115</v>
      </c>
      <c r="AS1" t="s">
        <v>116</v>
      </c>
      <c r="AT1" t="s">
        <v>117</v>
      </c>
      <c r="AU1" t="s">
        <v>118</v>
      </c>
      <c r="AV1" t="s">
        <v>119</v>
      </c>
      <c r="AW1" t="s">
        <v>120</v>
      </c>
      <c r="AX1" t="s">
        <v>121</v>
      </c>
      <c r="AY1" t="s">
        <v>122</v>
      </c>
      <c r="AZ1" t="s">
        <v>123</v>
      </c>
      <c r="BA1" t="s">
        <v>124</v>
      </c>
      <c r="BB1" t="s">
        <v>125</v>
      </c>
      <c r="BC1" t="s">
        <v>126</v>
      </c>
      <c r="BD1" t="s">
        <v>127</v>
      </c>
    </row>
    <row r="2" spans="1:56" x14ac:dyDescent="0.25">
      <c r="A2">
        <v>21</v>
      </c>
      <c r="B2">
        <v>0</v>
      </c>
      <c r="C2">
        <v>59</v>
      </c>
      <c r="D2" t="s">
        <v>73</v>
      </c>
      <c r="E2" t="s">
        <v>73</v>
      </c>
      <c r="F2">
        <v>72</v>
      </c>
      <c r="G2" t="s">
        <v>73</v>
      </c>
      <c r="H2" t="s">
        <v>73</v>
      </c>
      <c r="I2" t="s">
        <v>73</v>
      </c>
      <c r="J2" t="s">
        <v>73</v>
      </c>
      <c r="K2" t="s">
        <v>73</v>
      </c>
      <c r="L2">
        <v>4</v>
      </c>
      <c r="M2" t="s">
        <v>73</v>
      </c>
      <c r="N2" t="s">
        <v>73</v>
      </c>
      <c r="O2">
        <v>5</v>
      </c>
      <c r="P2" t="s">
        <v>73</v>
      </c>
      <c r="Q2" t="s">
        <v>73</v>
      </c>
      <c r="R2" t="s">
        <v>73</v>
      </c>
      <c r="S2" t="s">
        <v>73</v>
      </c>
      <c r="T2" t="s">
        <v>73</v>
      </c>
      <c r="U2">
        <v>5</v>
      </c>
      <c r="V2" t="s">
        <v>73</v>
      </c>
      <c r="W2" t="s">
        <v>73</v>
      </c>
      <c r="X2">
        <v>8</v>
      </c>
      <c r="Y2" t="s">
        <v>73</v>
      </c>
      <c r="Z2" t="s">
        <v>73</v>
      </c>
      <c r="AA2" t="s">
        <v>73</v>
      </c>
      <c r="AB2" t="s">
        <v>73</v>
      </c>
      <c r="AC2" t="s">
        <v>73</v>
      </c>
      <c r="AD2" t="s">
        <v>73</v>
      </c>
      <c r="AE2" t="s">
        <v>73</v>
      </c>
      <c r="AF2" t="s">
        <v>73</v>
      </c>
      <c r="AG2" t="s">
        <v>73</v>
      </c>
      <c r="AH2" t="s">
        <v>73</v>
      </c>
      <c r="AI2" t="s">
        <v>73</v>
      </c>
      <c r="AJ2" t="s">
        <v>73</v>
      </c>
      <c r="AK2" t="s">
        <v>73</v>
      </c>
      <c r="AL2" t="s">
        <v>73</v>
      </c>
      <c r="AM2" t="s">
        <v>73</v>
      </c>
      <c r="AN2" t="s">
        <v>73</v>
      </c>
      <c r="AO2" t="s">
        <v>73</v>
      </c>
      <c r="AP2" t="s">
        <v>73</v>
      </c>
      <c r="AQ2" t="s">
        <v>73</v>
      </c>
      <c r="AR2" t="s">
        <v>73</v>
      </c>
      <c r="AS2" t="s">
        <v>73</v>
      </c>
      <c r="AT2" t="s">
        <v>73</v>
      </c>
      <c r="AU2" t="s">
        <v>73</v>
      </c>
      <c r="AV2">
        <v>13</v>
      </c>
      <c r="AW2" t="s">
        <v>73</v>
      </c>
      <c r="AX2" t="s">
        <v>73</v>
      </c>
      <c r="AY2">
        <v>7</v>
      </c>
      <c r="AZ2" t="s">
        <v>73</v>
      </c>
      <c r="BA2" t="s">
        <v>73</v>
      </c>
      <c r="BB2" t="s">
        <v>73</v>
      </c>
      <c r="BC2" t="s">
        <v>73</v>
      </c>
      <c r="BD2" t="s">
        <v>73</v>
      </c>
    </row>
    <row r="3" spans="1:56" x14ac:dyDescent="0.25">
      <c r="A3">
        <v>22</v>
      </c>
      <c r="B3">
        <v>0</v>
      </c>
      <c r="C3" t="s">
        <v>73</v>
      </c>
      <c r="D3" t="s">
        <v>73</v>
      </c>
      <c r="E3">
        <v>100</v>
      </c>
      <c r="F3" t="s">
        <v>73</v>
      </c>
      <c r="G3" t="s">
        <v>73</v>
      </c>
      <c r="H3">
        <v>74</v>
      </c>
      <c r="I3" t="s">
        <v>73</v>
      </c>
      <c r="J3" t="s">
        <v>73</v>
      </c>
      <c r="K3">
        <v>4</v>
      </c>
      <c r="L3" t="s">
        <v>73</v>
      </c>
      <c r="M3" t="s">
        <v>73</v>
      </c>
      <c r="N3" t="s">
        <v>73</v>
      </c>
      <c r="O3" t="s">
        <v>73</v>
      </c>
      <c r="P3" t="s">
        <v>73</v>
      </c>
      <c r="Q3" t="s">
        <v>73</v>
      </c>
      <c r="R3" t="s">
        <v>73</v>
      </c>
      <c r="S3" t="s">
        <v>73</v>
      </c>
      <c r="T3" t="s">
        <v>73</v>
      </c>
      <c r="U3" t="s">
        <v>73</v>
      </c>
      <c r="V3" t="s">
        <v>73</v>
      </c>
      <c r="W3">
        <v>7</v>
      </c>
      <c r="X3" t="s">
        <v>73</v>
      </c>
      <c r="Y3" t="s">
        <v>73</v>
      </c>
      <c r="Z3">
        <v>9</v>
      </c>
      <c r="AA3" t="s">
        <v>73</v>
      </c>
      <c r="AB3" t="s">
        <v>73</v>
      </c>
      <c r="AC3">
        <v>9</v>
      </c>
      <c r="AD3" t="s">
        <v>73</v>
      </c>
      <c r="AE3" t="s">
        <v>73</v>
      </c>
      <c r="AF3" t="s">
        <v>73</v>
      </c>
      <c r="AG3" t="s">
        <v>73</v>
      </c>
      <c r="AH3" t="s">
        <v>73</v>
      </c>
      <c r="AI3" t="s">
        <v>73</v>
      </c>
      <c r="AJ3" t="s">
        <v>73</v>
      </c>
      <c r="AK3" t="s">
        <v>73</v>
      </c>
      <c r="AL3" t="s">
        <v>73</v>
      </c>
      <c r="AM3" t="s">
        <v>73</v>
      </c>
      <c r="AN3" t="s">
        <v>73</v>
      </c>
      <c r="AO3">
        <v>6</v>
      </c>
      <c r="AP3" t="s">
        <v>73</v>
      </c>
      <c r="AQ3" t="s">
        <v>73</v>
      </c>
      <c r="AR3">
        <v>4</v>
      </c>
      <c r="AS3" t="s">
        <v>73</v>
      </c>
      <c r="AT3" t="s">
        <v>73</v>
      </c>
      <c r="AU3">
        <v>14</v>
      </c>
      <c r="AV3" t="s">
        <v>73</v>
      </c>
      <c r="AW3" t="s">
        <v>73</v>
      </c>
      <c r="AX3">
        <v>14</v>
      </c>
      <c r="AY3" t="s">
        <v>73</v>
      </c>
      <c r="AZ3" t="s">
        <v>73</v>
      </c>
      <c r="BA3">
        <v>9</v>
      </c>
      <c r="BB3" t="s">
        <v>73</v>
      </c>
      <c r="BC3" t="s">
        <v>73</v>
      </c>
      <c r="BD3" t="s">
        <v>73</v>
      </c>
    </row>
    <row r="4" spans="1:56" x14ac:dyDescent="0.25">
      <c r="A4">
        <v>23</v>
      </c>
      <c r="B4">
        <v>0</v>
      </c>
      <c r="C4" t="s">
        <v>73</v>
      </c>
      <c r="D4" t="s">
        <v>73</v>
      </c>
      <c r="E4" t="s">
        <v>73</v>
      </c>
      <c r="F4" t="s">
        <v>73</v>
      </c>
      <c r="G4" t="s">
        <v>73</v>
      </c>
      <c r="H4" t="s">
        <v>73</v>
      </c>
      <c r="I4">
        <v>4</v>
      </c>
      <c r="J4" t="s">
        <v>73</v>
      </c>
      <c r="K4" t="s">
        <v>73</v>
      </c>
      <c r="L4" t="s">
        <v>73</v>
      </c>
      <c r="M4" t="s">
        <v>73</v>
      </c>
      <c r="N4" t="s">
        <v>73</v>
      </c>
      <c r="O4" t="s">
        <v>73</v>
      </c>
      <c r="P4" t="s">
        <v>73</v>
      </c>
      <c r="Q4" t="s">
        <v>73</v>
      </c>
      <c r="R4" t="s">
        <v>73</v>
      </c>
      <c r="S4" t="s">
        <v>73</v>
      </c>
      <c r="T4" t="s">
        <v>73</v>
      </c>
      <c r="U4" t="s">
        <v>73</v>
      </c>
      <c r="V4" t="s">
        <v>73</v>
      </c>
      <c r="W4" t="s">
        <v>73</v>
      </c>
      <c r="X4" t="s">
        <v>73</v>
      </c>
      <c r="Y4" t="s">
        <v>73</v>
      </c>
      <c r="Z4" t="s">
        <v>73</v>
      </c>
      <c r="AA4" t="s">
        <v>73</v>
      </c>
      <c r="AB4" t="s">
        <v>73</v>
      </c>
      <c r="AC4" t="s">
        <v>73</v>
      </c>
      <c r="AD4" t="s">
        <v>73</v>
      </c>
      <c r="AE4" t="s">
        <v>73</v>
      </c>
      <c r="AF4" t="s">
        <v>73</v>
      </c>
      <c r="AG4" t="s">
        <v>73</v>
      </c>
      <c r="AH4" t="s">
        <v>73</v>
      </c>
      <c r="AI4" t="s">
        <v>73</v>
      </c>
      <c r="AJ4" t="s">
        <v>73</v>
      </c>
      <c r="AK4" t="s">
        <v>73</v>
      </c>
      <c r="AL4" t="s">
        <v>73</v>
      </c>
      <c r="AM4">
        <v>4</v>
      </c>
      <c r="AN4" t="s">
        <v>73</v>
      </c>
      <c r="AO4" t="s">
        <v>73</v>
      </c>
      <c r="AP4" t="s">
        <v>73</v>
      </c>
      <c r="AQ4" t="s">
        <v>73</v>
      </c>
      <c r="AR4" t="s">
        <v>73</v>
      </c>
      <c r="AS4">
        <v>14</v>
      </c>
      <c r="AT4" t="s">
        <v>73</v>
      </c>
      <c r="AU4" t="s">
        <v>73</v>
      </c>
      <c r="AV4" t="s">
        <v>73</v>
      </c>
      <c r="AW4" t="s">
        <v>73</v>
      </c>
      <c r="AX4" t="s">
        <v>73</v>
      </c>
      <c r="AY4" t="s">
        <v>73</v>
      </c>
      <c r="AZ4" t="s">
        <v>73</v>
      </c>
      <c r="BA4" t="s">
        <v>73</v>
      </c>
      <c r="BB4">
        <v>6</v>
      </c>
      <c r="BC4" t="s">
        <v>73</v>
      </c>
      <c r="BD4" t="s">
        <v>73</v>
      </c>
    </row>
    <row r="5" spans="1:56" x14ac:dyDescent="0.25">
      <c r="A5">
        <v>24</v>
      </c>
      <c r="B5">
        <v>1</v>
      </c>
      <c r="C5">
        <v>100</v>
      </c>
      <c r="D5">
        <v>59</v>
      </c>
      <c r="E5" t="s">
        <v>73</v>
      </c>
      <c r="F5">
        <v>74</v>
      </c>
      <c r="G5">
        <v>72</v>
      </c>
      <c r="H5" t="s">
        <v>73</v>
      </c>
      <c r="I5" t="s">
        <v>73</v>
      </c>
      <c r="J5">
        <v>4</v>
      </c>
      <c r="K5" t="s">
        <v>73</v>
      </c>
      <c r="L5" t="s">
        <v>73</v>
      </c>
      <c r="M5">
        <v>4</v>
      </c>
      <c r="N5" t="s">
        <v>73</v>
      </c>
      <c r="O5">
        <v>8</v>
      </c>
      <c r="P5">
        <v>5</v>
      </c>
      <c r="Q5" t="s">
        <v>73</v>
      </c>
      <c r="R5" t="s">
        <v>73</v>
      </c>
      <c r="S5" t="s">
        <v>73</v>
      </c>
      <c r="T5">
        <v>9</v>
      </c>
      <c r="U5">
        <v>7</v>
      </c>
      <c r="V5">
        <v>5</v>
      </c>
      <c r="W5" t="s">
        <v>73</v>
      </c>
      <c r="X5">
        <v>9</v>
      </c>
      <c r="Y5">
        <v>8</v>
      </c>
      <c r="Z5" t="s">
        <v>73</v>
      </c>
      <c r="AA5" t="s">
        <v>73</v>
      </c>
      <c r="AB5" t="s">
        <v>73</v>
      </c>
      <c r="AC5" t="s">
        <v>73</v>
      </c>
      <c r="AD5" t="s">
        <v>73</v>
      </c>
      <c r="AE5">
        <v>11</v>
      </c>
      <c r="AF5" t="s">
        <v>73</v>
      </c>
      <c r="AG5" t="s">
        <v>73</v>
      </c>
      <c r="AH5">
        <v>5</v>
      </c>
      <c r="AI5" t="s">
        <v>73</v>
      </c>
      <c r="AJ5" t="s">
        <v>73</v>
      </c>
      <c r="AK5" t="s">
        <v>73</v>
      </c>
      <c r="AL5" t="s">
        <v>73</v>
      </c>
      <c r="AM5" t="s">
        <v>73</v>
      </c>
      <c r="AN5" t="s">
        <v>73</v>
      </c>
      <c r="AO5" t="s">
        <v>73</v>
      </c>
      <c r="AP5">
        <v>4</v>
      </c>
      <c r="AQ5" t="s">
        <v>73</v>
      </c>
      <c r="AR5" t="s">
        <v>73</v>
      </c>
      <c r="AS5" t="s">
        <v>73</v>
      </c>
      <c r="AT5">
        <v>14</v>
      </c>
      <c r="AU5" t="s">
        <v>73</v>
      </c>
      <c r="AV5">
        <v>14</v>
      </c>
      <c r="AW5">
        <v>13</v>
      </c>
      <c r="AX5" t="s">
        <v>73</v>
      </c>
      <c r="AY5">
        <v>9</v>
      </c>
      <c r="AZ5">
        <v>7</v>
      </c>
      <c r="BA5" t="s">
        <v>73</v>
      </c>
      <c r="BB5" t="s">
        <v>73</v>
      </c>
      <c r="BC5" t="s">
        <v>73</v>
      </c>
      <c r="BD5">
        <v>8</v>
      </c>
    </row>
    <row r="6" spans="1:56" x14ac:dyDescent="0.25">
      <c r="A6">
        <v>25</v>
      </c>
      <c r="B6">
        <v>1</v>
      </c>
      <c r="C6" t="s">
        <v>73</v>
      </c>
      <c r="D6" t="s">
        <v>73</v>
      </c>
      <c r="E6" t="s">
        <v>73</v>
      </c>
      <c r="F6" t="s">
        <v>73</v>
      </c>
      <c r="G6" t="s">
        <v>73</v>
      </c>
      <c r="H6" t="s">
        <v>73</v>
      </c>
      <c r="I6" t="s">
        <v>73</v>
      </c>
      <c r="J6" t="s">
        <v>73</v>
      </c>
      <c r="K6" t="s">
        <v>73</v>
      </c>
      <c r="L6" t="s">
        <v>73</v>
      </c>
      <c r="M6" t="s">
        <v>73</v>
      </c>
      <c r="N6" t="s">
        <v>73</v>
      </c>
      <c r="O6" t="s">
        <v>73</v>
      </c>
      <c r="P6" t="s">
        <v>73</v>
      </c>
      <c r="Q6" t="s">
        <v>73</v>
      </c>
      <c r="R6" t="s">
        <v>73</v>
      </c>
      <c r="S6" t="s">
        <v>73</v>
      </c>
      <c r="T6" t="s">
        <v>73</v>
      </c>
      <c r="U6" t="s">
        <v>73</v>
      </c>
      <c r="V6" t="s">
        <v>73</v>
      </c>
      <c r="W6" t="s">
        <v>73</v>
      </c>
      <c r="X6" t="s">
        <v>73</v>
      </c>
      <c r="Y6" t="s">
        <v>73</v>
      </c>
      <c r="Z6" t="s">
        <v>73</v>
      </c>
      <c r="AA6">
        <v>9</v>
      </c>
      <c r="AB6" t="s">
        <v>73</v>
      </c>
      <c r="AC6" t="s">
        <v>73</v>
      </c>
      <c r="AD6">
        <v>11</v>
      </c>
      <c r="AE6" t="s">
        <v>73</v>
      </c>
      <c r="AF6" t="s">
        <v>73</v>
      </c>
      <c r="AG6">
        <v>5</v>
      </c>
      <c r="AH6" t="s">
        <v>73</v>
      </c>
      <c r="AI6" t="s">
        <v>73</v>
      </c>
      <c r="AJ6" t="s">
        <v>73</v>
      </c>
      <c r="AK6" t="s">
        <v>73</v>
      </c>
      <c r="AL6" t="s">
        <v>73</v>
      </c>
      <c r="AM6" t="s">
        <v>73</v>
      </c>
      <c r="AN6" t="s">
        <v>73</v>
      </c>
      <c r="AO6" t="s">
        <v>73</v>
      </c>
      <c r="AP6" t="s">
        <v>73</v>
      </c>
      <c r="AQ6" t="s">
        <v>73</v>
      </c>
      <c r="AR6" t="s">
        <v>73</v>
      </c>
      <c r="AS6" t="s">
        <v>73</v>
      </c>
      <c r="AT6" t="s">
        <v>73</v>
      </c>
      <c r="AU6" t="s">
        <v>73</v>
      </c>
      <c r="AV6" t="s">
        <v>73</v>
      </c>
      <c r="AW6" t="s">
        <v>73</v>
      </c>
      <c r="AX6" t="s">
        <v>73</v>
      </c>
      <c r="AY6" t="s">
        <v>73</v>
      </c>
      <c r="AZ6" t="s">
        <v>73</v>
      </c>
      <c r="BA6" t="s">
        <v>73</v>
      </c>
      <c r="BB6" t="s">
        <v>73</v>
      </c>
      <c r="BC6" t="s">
        <v>73</v>
      </c>
      <c r="BD6" t="s">
        <v>73</v>
      </c>
    </row>
    <row r="7" spans="1:56" x14ac:dyDescent="0.25">
      <c r="A7">
        <v>26</v>
      </c>
      <c r="B7">
        <v>1</v>
      </c>
      <c r="C7">
        <v>106</v>
      </c>
      <c r="D7" t="s">
        <v>73</v>
      </c>
      <c r="E7">
        <v>106</v>
      </c>
      <c r="F7" t="s">
        <v>73</v>
      </c>
      <c r="G7" t="s">
        <v>73</v>
      </c>
      <c r="H7">
        <v>79</v>
      </c>
      <c r="I7" t="s">
        <v>73</v>
      </c>
      <c r="J7" t="s">
        <v>73</v>
      </c>
      <c r="K7" t="s">
        <v>73</v>
      </c>
      <c r="L7">
        <v>5</v>
      </c>
      <c r="M7" t="s">
        <v>73</v>
      </c>
      <c r="N7">
        <v>5</v>
      </c>
      <c r="O7" t="s">
        <v>73</v>
      </c>
      <c r="P7" t="s">
        <v>73</v>
      </c>
      <c r="Q7">
        <v>9</v>
      </c>
      <c r="R7">
        <v>9</v>
      </c>
      <c r="S7" t="s">
        <v>73</v>
      </c>
      <c r="T7" t="s">
        <v>73</v>
      </c>
      <c r="U7" t="s">
        <v>73</v>
      </c>
      <c r="V7" t="s">
        <v>73</v>
      </c>
      <c r="W7" t="s">
        <v>73</v>
      </c>
      <c r="X7" t="s">
        <v>73</v>
      </c>
      <c r="Y7" t="s">
        <v>73</v>
      </c>
      <c r="Z7" t="s">
        <v>73</v>
      </c>
      <c r="AA7" t="s">
        <v>73</v>
      </c>
      <c r="AB7" t="s">
        <v>73</v>
      </c>
      <c r="AC7">
        <v>10</v>
      </c>
      <c r="AD7" t="s">
        <v>73</v>
      </c>
      <c r="AE7" t="s">
        <v>73</v>
      </c>
      <c r="AF7">
        <v>11</v>
      </c>
      <c r="AG7" t="s">
        <v>73</v>
      </c>
      <c r="AH7" t="s">
        <v>73</v>
      </c>
      <c r="AI7">
        <v>5</v>
      </c>
      <c r="AJ7" t="s">
        <v>73</v>
      </c>
      <c r="AK7" t="s">
        <v>73</v>
      </c>
      <c r="AL7" t="s">
        <v>73</v>
      </c>
      <c r="AM7">
        <v>5</v>
      </c>
      <c r="AN7">
        <v>4</v>
      </c>
      <c r="AO7" t="s">
        <v>73</v>
      </c>
      <c r="AP7" t="s">
        <v>73</v>
      </c>
      <c r="AQ7">
        <v>4</v>
      </c>
      <c r="AR7">
        <v>5</v>
      </c>
      <c r="AS7">
        <v>19</v>
      </c>
      <c r="AT7" t="s">
        <v>73</v>
      </c>
      <c r="AU7">
        <v>19</v>
      </c>
      <c r="AV7">
        <v>15</v>
      </c>
      <c r="AW7" t="s">
        <v>73</v>
      </c>
      <c r="AX7">
        <v>15</v>
      </c>
      <c r="AY7" t="s">
        <v>73</v>
      </c>
      <c r="AZ7" t="s">
        <v>73</v>
      </c>
      <c r="BA7">
        <v>10</v>
      </c>
      <c r="BB7" t="s">
        <v>73</v>
      </c>
      <c r="BC7">
        <v>6</v>
      </c>
      <c r="BD7" t="s">
        <v>73</v>
      </c>
    </row>
    <row r="8" spans="1:56" x14ac:dyDescent="0.25">
      <c r="A8">
        <v>27</v>
      </c>
      <c r="B8">
        <v>1</v>
      </c>
      <c r="C8" t="s">
        <v>73</v>
      </c>
      <c r="D8" t="s">
        <v>73</v>
      </c>
      <c r="E8" t="s">
        <v>73</v>
      </c>
      <c r="F8">
        <v>79</v>
      </c>
      <c r="G8" t="s">
        <v>73</v>
      </c>
      <c r="H8" t="s">
        <v>73</v>
      </c>
      <c r="I8">
        <v>7</v>
      </c>
      <c r="J8" t="s">
        <v>73</v>
      </c>
      <c r="K8">
        <v>7</v>
      </c>
      <c r="L8" t="s">
        <v>73</v>
      </c>
      <c r="M8" t="s">
        <v>73</v>
      </c>
      <c r="N8" t="s">
        <v>73</v>
      </c>
      <c r="O8" t="s">
        <v>73</v>
      </c>
      <c r="P8" t="s">
        <v>73</v>
      </c>
      <c r="Q8" t="s">
        <v>73</v>
      </c>
      <c r="R8" t="s">
        <v>73</v>
      </c>
      <c r="S8" t="s">
        <v>73</v>
      </c>
      <c r="T8" t="s">
        <v>73</v>
      </c>
      <c r="U8">
        <v>9</v>
      </c>
      <c r="V8" t="s">
        <v>73</v>
      </c>
      <c r="W8">
        <v>9</v>
      </c>
      <c r="X8">
        <v>10</v>
      </c>
      <c r="Y8" t="s">
        <v>73</v>
      </c>
      <c r="Z8" t="s">
        <v>73</v>
      </c>
      <c r="AA8" t="s">
        <v>73</v>
      </c>
      <c r="AB8" t="s">
        <v>73</v>
      </c>
      <c r="AC8" t="s">
        <v>73</v>
      </c>
      <c r="AD8" t="s">
        <v>73</v>
      </c>
      <c r="AE8" t="s">
        <v>73</v>
      </c>
      <c r="AF8" t="s">
        <v>73</v>
      </c>
      <c r="AG8" t="s">
        <v>73</v>
      </c>
      <c r="AH8" t="s">
        <v>73</v>
      </c>
      <c r="AI8" t="s">
        <v>73</v>
      </c>
      <c r="AJ8" t="s">
        <v>73</v>
      </c>
      <c r="AK8" t="s">
        <v>73</v>
      </c>
      <c r="AL8" t="s">
        <v>73</v>
      </c>
      <c r="AM8" t="s">
        <v>73</v>
      </c>
      <c r="AN8" t="s">
        <v>73</v>
      </c>
      <c r="AO8" t="s">
        <v>73</v>
      </c>
      <c r="AP8" t="s">
        <v>73</v>
      </c>
      <c r="AQ8" t="s">
        <v>73</v>
      </c>
      <c r="AR8" t="s">
        <v>73</v>
      </c>
      <c r="AS8">
        <v>20</v>
      </c>
      <c r="AT8" t="s">
        <v>73</v>
      </c>
      <c r="AU8" t="s">
        <v>73</v>
      </c>
      <c r="AV8" t="s">
        <v>73</v>
      </c>
      <c r="AW8" t="s">
        <v>73</v>
      </c>
      <c r="AX8" t="s">
        <v>73</v>
      </c>
      <c r="AY8">
        <v>10</v>
      </c>
      <c r="AZ8" t="s">
        <v>73</v>
      </c>
      <c r="BA8" t="s">
        <v>73</v>
      </c>
      <c r="BB8" t="s">
        <v>73</v>
      </c>
      <c r="BC8" t="s">
        <v>73</v>
      </c>
      <c r="BD8" t="s">
        <v>73</v>
      </c>
    </row>
    <row r="9" spans="1:56" x14ac:dyDescent="0.25">
      <c r="A9">
        <v>28</v>
      </c>
      <c r="B9">
        <v>2</v>
      </c>
      <c r="C9">
        <v>107</v>
      </c>
      <c r="D9">
        <v>107</v>
      </c>
      <c r="E9">
        <v>107</v>
      </c>
      <c r="F9">
        <v>82</v>
      </c>
      <c r="G9">
        <v>79</v>
      </c>
      <c r="H9">
        <v>83</v>
      </c>
      <c r="I9" t="s">
        <v>73</v>
      </c>
      <c r="J9" t="s">
        <v>73</v>
      </c>
      <c r="K9" t="s">
        <v>73</v>
      </c>
      <c r="L9" t="s">
        <v>73</v>
      </c>
      <c r="M9">
        <v>7</v>
      </c>
      <c r="N9" t="s">
        <v>73</v>
      </c>
      <c r="O9">
        <v>9</v>
      </c>
      <c r="P9">
        <v>8</v>
      </c>
      <c r="Q9" t="s">
        <v>73</v>
      </c>
      <c r="R9" t="s">
        <v>73</v>
      </c>
      <c r="S9">
        <v>9</v>
      </c>
      <c r="T9" t="s">
        <v>73</v>
      </c>
      <c r="U9" t="s">
        <v>73</v>
      </c>
      <c r="V9">
        <v>10</v>
      </c>
      <c r="W9" t="s">
        <v>73</v>
      </c>
      <c r="X9" t="s">
        <v>73</v>
      </c>
      <c r="Y9" t="s">
        <v>73</v>
      </c>
      <c r="Z9">
        <v>10</v>
      </c>
      <c r="AA9" t="s">
        <v>73</v>
      </c>
      <c r="AB9">
        <v>9</v>
      </c>
      <c r="AC9">
        <v>11</v>
      </c>
      <c r="AD9" t="s">
        <v>73</v>
      </c>
      <c r="AE9">
        <v>12</v>
      </c>
      <c r="AF9" t="s">
        <v>73</v>
      </c>
      <c r="AG9">
        <v>7</v>
      </c>
      <c r="AH9">
        <v>7</v>
      </c>
      <c r="AI9" t="s">
        <v>73</v>
      </c>
      <c r="AJ9">
        <v>5</v>
      </c>
      <c r="AK9">
        <v>5</v>
      </c>
      <c r="AL9">
        <v>5</v>
      </c>
      <c r="AM9" t="s">
        <v>73</v>
      </c>
      <c r="AN9" t="s">
        <v>73</v>
      </c>
      <c r="AO9">
        <v>7</v>
      </c>
      <c r="AP9">
        <v>5</v>
      </c>
      <c r="AQ9" t="s">
        <v>73</v>
      </c>
      <c r="AR9">
        <v>6</v>
      </c>
      <c r="AS9" t="s">
        <v>73</v>
      </c>
      <c r="AT9">
        <v>23</v>
      </c>
      <c r="AU9">
        <v>20</v>
      </c>
      <c r="AV9" t="s">
        <v>73</v>
      </c>
      <c r="AW9" t="s">
        <v>73</v>
      </c>
      <c r="AX9">
        <v>16</v>
      </c>
      <c r="AY9" t="s">
        <v>73</v>
      </c>
      <c r="AZ9">
        <v>10</v>
      </c>
      <c r="BA9" t="s">
        <v>73</v>
      </c>
      <c r="BB9" t="s">
        <v>73</v>
      </c>
      <c r="BC9" t="s">
        <v>73</v>
      </c>
      <c r="BD9" t="s">
        <v>73</v>
      </c>
    </row>
    <row r="10" spans="1:56" x14ac:dyDescent="0.25">
      <c r="A10">
        <v>29</v>
      </c>
      <c r="B10">
        <v>2</v>
      </c>
      <c r="C10">
        <v>108</v>
      </c>
      <c r="D10" t="s">
        <v>73</v>
      </c>
      <c r="E10">
        <v>109</v>
      </c>
      <c r="F10">
        <v>83</v>
      </c>
      <c r="G10" t="s">
        <v>73</v>
      </c>
      <c r="H10">
        <v>87</v>
      </c>
      <c r="I10">
        <v>8</v>
      </c>
      <c r="J10" t="s">
        <v>73</v>
      </c>
      <c r="K10" t="s">
        <v>73</v>
      </c>
      <c r="L10" t="s">
        <v>73</v>
      </c>
      <c r="M10" t="s">
        <v>73</v>
      </c>
      <c r="N10" t="s">
        <v>73</v>
      </c>
      <c r="O10" t="s">
        <v>73</v>
      </c>
      <c r="P10" t="s">
        <v>73</v>
      </c>
      <c r="Q10">
        <v>10</v>
      </c>
      <c r="R10" t="s">
        <v>73</v>
      </c>
      <c r="S10" t="s">
        <v>73</v>
      </c>
      <c r="T10" t="s">
        <v>73</v>
      </c>
      <c r="U10">
        <v>10</v>
      </c>
      <c r="V10" t="s">
        <v>73</v>
      </c>
      <c r="W10" t="s">
        <v>73</v>
      </c>
      <c r="X10" t="s">
        <v>73</v>
      </c>
      <c r="Y10">
        <v>11</v>
      </c>
      <c r="Z10" t="s">
        <v>73</v>
      </c>
      <c r="AA10">
        <v>10</v>
      </c>
      <c r="AB10" t="s">
        <v>73</v>
      </c>
      <c r="AC10" t="s">
        <v>73</v>
      </c>
      <c r="AD10" t="s">
        <v>73</v>
      </c>
      <c r="AE10" t="s">
        <v>73</v>
      </c>
      <c r="AF10" t="s">
        <v>73</v>
      </c>
      <c r="AG10">
        <v>8</v>
      </c>
      <c r="AH10" t="s">
        <v>73</v>
      </c>
      <c r="AI10">
        <v>8</v>
      </c>
      <c r="AJ10" t="s">
        <v>73</v>
      </c>
      <c r="AK10" t="s">
        <v>73</v>
      </c>
      <c r="AL10" t="s">
        <v>73</v>
      </c>
      <c r="AM10">
        <v>6</v>
      </c>
      <c r="AN10" t="s">
        <v>73</v>
      </c>
      <c r="AO10" t="s">
        <v>73</v>
      </c>
      <c r="AP10" t="s">
        <v>73</v>
      </c>
      <c r="AQ10" t="s">
        <v>73</v>
      </c>
      <c r="AR10" t="s">
        <v>73</v>
      </c>
      <c r="AS10">
        <v>21</v>
      </c>
      <c r="AT10" t="s">
        <v>73</v>
      </c>
      <c r="AU10" t="s">
        <v>73</v>
      </c>
      <c r="AV10">
        <v>16</v>
      </c>
      <c r="AW10">
        <v>16</v>
      </c>
      <c r="AX10" t="s">
        <v>73</v>
      </c>
      <c r="AY10">
        <v>11</v>
      </c>
      <c r="AZ10" t="s">
        <v>73</v>
      </c>
      <c r="BA10">
        <v>11</v>
      </c>
      <c r="BB10">
        <v>8</v>
      </c>
      <c r="BC10" t="s">
        <v>73</v>
      </c>
      <c r="BD10" t="s">
        <v>73</v>
      </c>
    </row>
    <row r="11" spans="1:56" x14ac:dyDescent="0.25">
      <c r="A11">
        <v>30</v>
      </c>
      <c r="B11">
        <v>3</v>
      </c>
      <c r="C11">
        <v>109</v>
      </c>
      <c r="D11">
        <v>108</v>
      </c>
      <c r="E11" t="s">
        <v>73</v>
      </c>
      <c r="F11">
        <v>87</v>
      </c>
      <c r="G11">
        <v>82</v>
      </c>
      <c r="H11">
        <v>88</v>
      </c>
      <c r="I11" t="s">
        <v>73</v>
      </c>
      <c r="J11">
        <v>10</v>
      </c>
      <c r="K11" t="s">
        <v>73</v>
      </c>
      <c r="L11">
        <v>6</v>
      </c>
      <c r="M11" t="s">
        <v>73</v>
      </c>
      <c r="N11" t="s">
        <v>73</v>
      </c>
      <c r="O11">
        <v>10</v>
      </c>
      <c r="P11">
        <v>9</v>
      </c>
      <c r="Q11">
        <v>11</v>
      </c>
      <c r="R11">
        <v>10</v>
      </c>
      <c r="S11" t="s">
        <v>73</v>
      </c>
      <c r="T11">
        <v>10</v>
      </c>
      <c r="U11" t="s">
        <v>73</v>
      </c>
      <c r="V11" t="s">
        <v>73</v>
      </c>
      <c r="W11">
        <v>10</v>
      </c>
      <c r="X11">
        <v>11</v>
      </c>
      <c r="Y11" t="s">
        <v>73</v>
      </c>
      <c r="Z11" t="s">
        <v>73</v>
      </c>
      <c r="AA11" t="s">
        <v>73</v>
      </c>
      <c r="AB11" t="s">
        <v>73</v>
      </c>
      <c r="AC11" t="s">
        <v>73</v>
      </c>
      <c r="AD11">
        <v>12</v>
      </c>
      <c r="AE11" t="s">
        <v>73</v>
      </c>
      <c r="AF11" t="s">
        <v>73</v>
      </c>
      <c r="AG11" t="s">
        <v>73</v>
      </c>
      <c r="AH11">
        <v>8</v>
      </c>
      <c r="AI11">
        <v>9</v>
      </c>
      <c r="AJ11" t="s">
        <v>73</v>
      </c>
      <c r="AK11" t="s">
        <v>73</v>
      </c>
      <c r="AL11" t="s">
        <v>73</v>
      </c>
      <c r="AM11" t="s">
        <v>73</v>
      </c>
      <c r="AN11">
        <v>5</v>
      </c>
      <c r="AO11" t="s">
        <v>73</v>
      </c>
      <c r="AP11">
        <v>6</v>
      </c>
      <c r="AQ11" t="s">
        <v>73</v>
      </c>
      <c r="AR11" t="s">
        <v>73</v>
      </c>
      <c r="AS11" t="s">
        <v>73</v>
      </c>
      <c r="AT11" t="s">
        <v>73</v>
      </c>
      <c r="AU11">
        <v>21</v>
      </c>
      <c r="AV11" t="s">
        <v>73</v>
      </c>
      <c r="AW11" t="s">
        <v>73</v>
      </c>
      <c r="AX11" t="s">
        <v>73</v>
      </c>
      <c r="AY11" t="s">
        <v>73</v>
      </c>
      <c r="AZ11" t="s">
        <v>73</v>
      </c>
      <c r="BA11" t="s">
        <v>73</v>
      </c>
      <c r="BB11" t="s">
        <v>73</v>
      </c>
      <c r="BC11" t="s">
        <v>73</v>
      </c>
      <c r="BD11" t="s">
        <v>73</v>
      </c>
    </row>
    <row r="12" spans="1:56" x14ac:dyDescent="0.25">
      <c r="A12">
        <v>31</v>
      </c>
      <c r="B12">
        <v>3</v>
      </c>
      <c r="C12">
        <v>113</v>
      </c>
      <c r="D12">
        <v>114</v>
      </c>
      <c r="E12">
        <v>113</v>
      </c>
      <c r="F12">
        <v>89</v>
      </c>
      <c r="G12">
        <v>89</v>
      </c>
      <c r="H12">
        <v>89</v>
      </c>
      <c r="I12">
        <v>9</v>
      </c>
      <c r="J12" t="s">
        <v>73</v>
      </c>
      <c r="K12">
        <v>8</v>
      </c>
      <c r="L12" t="s">
        <v>73</v>
      </c>
      <c r="M12" t="s">
        <v>73</v>
      </c>
      <c r="N12">
        <v>6</v>
      </c>
      <c r="O12" t="s">
        <v>73</v>
      </c>
      <c r="P12" t="s">
        <v>73</v>
      </c>
      <c r="Q12" t="s">
        <v>73</v>
      </c>
      <c r="R12" t="s">
        <v>73</v>
      </c>
      <c r="S12" t="s">
        <v>73</v>
      </c>
      <c r="T12" t="s">
        <v>73</v>
      </c>
      <c r="U12">
        <v>11</v>
      </c>
      <c r="V12">
        <v>11</v>
      </c>
      <c r="W12" t="s">
        <v>73</v>
      </c>
      <c r="X12" t="s">
        <v>73</v>
      </c>
      <c r="Y12" t="s">
        <v>73</v>
      </c>
      <c r="Z12">
        <v>11</v>
      </c>
      <c r="AA12">
        <v>11</v>
      </c>
      <c r="AB12" t="s">
        <v>73</v>
      </c>
      <c r="AC12">
        <v>12</v>
      </c>
      <c r="AD12" t="s">
        <v>73</v>
      </c>
      <c r="AE12">
        <v>13</v>
      </c>
      <c r="AF12">
        <v>12</v>
      </c>
      <c r="AG12">
        <v>9</v>
      </c>
      <c r="AH12">
        <v>9</v>
      </c>
      <c r="AI12" t="s">
        <v>73</v>
      </c>
      <c r="AJ12" t="s">
        <v>73</v>
      </c>
      <c r="AK12" t="s">
        <v>73</v>
      </c>
      <c r="AL12" t="s">
        <v>73</v>
      </c>
      <c r="AM12" t="s">
        <v>73</v>
      </c>
      <c r="AN12" t="s">
        <v>73</v>
      </c>
      <c r="AO12" t="s">
        <v>73</v>
      </c>
      <c r="AP12" t="s">
        <v>73</v>
      </c>
      <c r="AQ12">
        <v>5</v>
      </c>
      <c r="AR12">
        <v>7</v>
      </c>
      <c r="AS12">
        <v>22</v>
      </c>
      <c r="AT12">
        <v>24</v>
      </c>
      <c r="AU12" t="s">
        <v>73</v>
      </c>
      <c r="AV12">
        <v>17</v>
      </c>
      <c r="AW12">
        <v>18</v>
      </c>
      <c r="AX12">
        <v>17</v>
      </c>
      <c r="AY12" t="s">
        <v>73</v>
      </c>
      <c r="AZ12">
        <v>13</v>
      </c>
      <c r="BA12" t="s">
        <v>73</v>
      </c>
      <c r="BB12" t="s">
        <v>73</v>
      </c>
      <c r="BC12" t="s">
        <v>73</v>
      </c>
      <c r="BD12">
        <v>9</v>
      </c>
    </row>
    <row r="13" spans="1:56" x14ac:dyDescent="0.25">
      <c r="A13">
        <v>32</v>
      </c>
      <c r="B13">
        <v>4</v>
      </c>
      <c r="C13">
        <v>114</v>
      </c>
      <c r="D13" t="s">
        <v>73</v>
      </c>
      <c r="E13">
        <v>114</v>
      </c>
      <c r="F13">
        <v>92</v>
      </c>
      <c r="G13" t="s">
        <v>73</v>
      </c>
      <c r="H13">
        <v>95</v>
      </c>
      <c r="I13" t="s">
        <v>73</v>
      </c>
      <c r="J13" t="s">
        <v>73</v>
      </c>
      <c r="K13" t="s">
        <v>73</v>
      </c>
      <c r="L13">
        <v>7</v>
      </c>
      <c r="M13" t="s">
        <v>73</v>
      </c>
      <c r="N13" t="s">
        <v>73</v>
      </c>
      <c r="O13">
        <v>11</v>
      </c>
      <c r="P13">
        <v>10</v>
      </c>
      <c r="Q13">
        <v>12</v>
      </c>
      <c r="R13" t="s">
        <v>73</v>
      </c>
      <c r="S13" t="s">
        <v>73</v>
      </c>
      <c r="T13" t="s">
        <v>73</v>
      </c>
      <c r="U13">
        <v>12</v>
      </c>
      <c r="V13" t="s">
        <v>73</v>
      </c>
      <c r="W13">
        <v>12</v>
      </c>
      <c r="X13">
        <v>12</v>
      </c>
      <c r="Y13">
        <v>12</v>
      </c>
      <c r="Z13">
        <v>12</v>
      </c>
      <c r="AA13">
        <v>12</v>
      </c>
      <c r="AB13">
        <v>10</v>
      </c>
      <c r="AC13" t="s">
        <v>73</v>
      </c>
      <c r="AD13" t="s">
        <v>73</v>
      </c>
      <c r="AE13" t="s">
        <v>73</v>
      </c>
      <c r="AF13" t="s">
        <v>73</v>
      </c>
      <c r="AG13" t="s">
        <v>73</v>
      </c>
      <c r="AH13" t="s">
        <v>73</v>
      </c>
      <c r="AI13" t="s">
        <v>73</v>
      </c>
      <c r="AJ13">
        <v>6</v>
      </c>
      <c r="AK13">
        <v>6</v>
      </c>
      <c r="AL13" t="s">
        <v>73</v>
      </c>
      <c r="AM13">
        <v>7</v>
      </c>
      <c r="AN13" t="s">
        <v>73</v>
      </c>
      <c r="AO13" t="s">
        <v>73</v>
      </c>
      <c r="AP13">
        <v>7</v>
      </c>
      <c r="AQ13" t="s">
        <v>73</v>
      </c>
      <c r="AR13" t="s">
        <v>73</v>
      </c>
      <c r="AS13" t="s">
        <v>73</v>
      </c>
      <c r="AT13" t="s">
        <v>73</v>
      </c>
      <c r="AU13">
        <v>22</v>
      </c>
      <c r="AV13">
        <v>18</v>
      </c>
      <c r="AW13" t="s">
        <v>73</v>
      </c>
      <c r="AX13">
        <v>18</v>
      </c>
      <c r="AY13">
        <v>12</v>
      </c>
      <c r="AZ13" t="s">
        <v>73</v>
      </c>
      <c r="BA13" t="s">
        <v>73</v>
      </c>
      <c r="BB13" t="s">
        <v>73</v>
      </c>
      <c r="BC13">
        <v>8</v>
      </c>
      <c r="BD13" t="s">
        <v>73</v>
      </c>
    </row>
    <row r="14" spans="1:56" x14ac:dyDescent="0.25">
      <c r="A14">
        <v>33</v>
      </c>
      <c r="B14">
        <v>5</v>
      </c>
      <c r="C14">
        <v>117</v>
      </c>
      <c r="D14" t="s">
        <v>73</v>
      </c>
      <c r="E14">
        <v>117</v>
      </c>
      <c r="F14">
        <v>96</v>
      </c>
      <c r="G14">
        <v>92</v>
      </c>
      <c r="H14">
        <v>99</v>
      </c>
      <c r="I14">
        <v>10</v>
      </c>
      <c r="J14" t="s">
        <v>73</v>
      </c>
      <c r="K14">
        <v>9</v>
      </c>
      <c r="L14" t="s">
        <v>73</v>
      </c>
      <c r="M14" t="s">
        <v>73</v>
      </c>
      <c r="N14" t="s">
        <v>73</v>
      </c>
      <c r="O14">
        <v>12</v>
      </c>
      <c r="P14" t="s">
        <v>73</v>
      </c>
      <c r="Q14" t="s">
        <v>73</v>
      </c>
      <c r="R14" t="s">
        <v>73</v>
      </c>
      <c r="S14">
        <v>11</v>
      </c>
      <c r="T14" t="s">
        <v>73</v>
      </c>
      <c r="U14" t="s">
        <v>73</v>
      </c>
      <c r="V14">
        <v>12</v>
      </c>
      <c r="W14" t="s">
        <v>73</v>
      </c>
      <c r="X14" t="s">
        <v>73</v>
      </c>
      <c r="Y14" t="s">
        <v>73</v>
      </c>
      <c r="Z14" t="s">
        <v>73</v>
      </c>
      <c r="AA14" t="s">
        <v>73</v>
      </c>
      <c r="AB14" t="s">
        <v>73</v>
      </c>
      <c r="AC14">
        <v>13</v>
      </c>
      <c r="AD14">
        <v>13</v>
      </c>
      <c r="AE14" t="s">
        <v>73</v>
      </c>
      <c r="AF14" t="s">
        <v>73</v>
      </c>
      <c r="AG14">
        <v>10</v>
      </c>
      <c r="AH14">
        <v>10</v>
      </c>
      <c r="AI14">
        <v>10</v>
      </c>
      <c r="AJ14" t="s">
        <v>73</v>
      </c>
      <c r="AK14" t="s">
        <v>73</v>
      </c>
      <c r="AL14">
        <v>6</v>
      </c>
      <c r="AM14" t="s">
        <v>73</v>
      </c>
      <c r="AN14">
        <v>6</v>
      </c>
      <c r="AO14">
        <v>8</v>
      </c>
      <c r="AP14" t="s">
        <v>73</v>
      </c>
      <c r="AQ14">
        <v>6</v>
      </c>
      <c r="AR14" t="s">
        <v>73</v>
      </c>
      <c r="AS14">
        <v>23</v>
      </c>
      <c r="AT14" t="s">
        <v>73</v>
      </c>
      <c r="AU14" t="s">
        <v>73</v>
      </c>
      <c r="AV14" t="s">
        <v>73</v>
      </c>
      <c r="AW14" t="s">
        <v>73</v>
      </c>
      <c r="AX14">
        <v>19</v>
      </c>
      <c r="AY14" t="s">
        <v>73</v>
      </c>
      <c r="AZ14" t="s">
        <v>73</v>
      </c>
      <c r="BA14">
        <v>12</v>
      </c>
      <c r="BB14">
        <v>9</v>
      </c>
      <c r="BC14" t="s">
        <v>73</v>
      </c>
      <c r="BD14" t="s">
        <v>73</v>
      </c>
    </row>
    <row r="15" spans="1:56" x14ac:dyDescent="0.25">
      <c r="A15">
        <v>34</v>
      </c>
      <c r="B15">
        <v>6</v>
      </c>
      <c r="C15">
        <v>118</v>
      </c>
      <c r="D15">
        <v>118</v>
      </c>
      <c r="E15" t="s">
        <v>73</v>
      </c>
      <c r="F15">
        <v>99</v>
      </c>
      <c r="G15">
        <v>95</v>
      </c>
      <c r="H15" t="s">
        <v>73</v>
      </c>
      <c r="I15" t="s">
        <v>73</v>
      </c>
      <c r="J15">
        <v>11</v>
      </c>
      <c r="K15" t="s">
        <v>73</v>
      </c>
      <c r="L15" t="s">
        <v>73</v>
      </c>
      <c r="M15">
        <v>8</v>
      </c>
      <c r="N15">
        <v>7</v>
      </c>
      <c r="O15" t="s">
        <v>73</v>
      </c>
      <c r="P15">
        <v>11</v>
      </c>
      <c r="Q15" t="s">
        <v>73</v>
      </c>
      <c r="R15">
        <v>11</v>
      </c>
      <c r="S15" t="s">
        <v>73</v>
      </c>
      <c r="T15">
        <v>11</v>
      </c>
      <c r="U15" t="s">
        <v>73</v>
      </c>
      <c r="V15" t="s">
        <v>73</v>
      </c>
      <c r="W15" t="s">
        <v>73</v>
      </c>
      <c r="X15" t="s">
        <v>73</v>
      </c>
      <c r="Y15">
        <v>13</v>
      </c>
      <c r="Z15" t="s">
        <v>73</v>
      </c>
      <c r="AA15">
        <v>13</v>
      </c>
      <c r="AB15">
        <v>11</v>
      </c>
      <c r="AC15" t="s">
        <v>73</v>
      </c>
      <c r="AD15" t="s">
        <v>73</v>
      </c>
      <c r="AE15" t="s">
        <v>73</v>
      </c>
      <c r="AF15">
        <v>13</v>
      </c>
      <c r="AG15" t="s">
        <v>73</v>
      </c>
      <c r="AH15">
        <v>11</v>
      </c>
      <c r="AI15" t="s">
        <v>73</v>
      </c>
      <c r="AJ15">
        <v>7</v>
      </c>
      <c r="AK15">
        <v>7</v>
      </c>
      <c r="AL15">
        <v>7</v>
      </c>
      <c r="AM15" t="s">
        <v>73</v>
      </c>
      <c r="AN15" t="s">
        <v>73</v>
      </c>
      <c r="AO15" t="s">
        <v>73</v>
      </c>
      <c r="AP15" t="s">
        <v>73</v>
      </c>
      <c r="AQ15" t="s">
        <v>73</v>
      </c>
      <c r="AR15" t="s">
        <v>73</v>
      </c>
      <c r="AS15" t="s">
        <v>73</v>
      </c>
      <c r="AT15">
        <v>26</v>
      </c>
      <c r="AU15" t="s">
        <v>73</v>
      </c>
      <c r="AV15">
        <v>19</v>
      </c>
      <c r="AW15">
        <v>19</v>
      </c>
      <c r="AX15" t="s">
        <v>73</v>
      </c>
      <c r="AY15" t="s">
        <v>73</v>
      </c>
      <c r="AZ15" t="s">
        <v>73</v>
      </c>
      <c r="BA15" t="s">
        <v>73</v>
      </c>
      <c r="BB15" t="s">
        <v>73</v>
      </c>
      <c r="BC15" t="s">
        <v>73</v>
      </c>
      <c r="BD15" t="s">
        <v>73</v>
      </c>
    </row>
    <row r="16" spans="1:56" x14ac:dyDescent="0.25">
      <c r="A16">
        <v>35</v>
      </c>
      <c r="B16">
        <v>7</v>
      </c>
      <c r="C16">
        <v>119</v>
      </c>
      <c r="D16">
        <v>119</v>
      </c>
      <c r="E16">
        <v>118</v>
      </c>
      <c r="F16">
        <v>100</v>
      </c>
      <c r="G16">
        <v>100</v>
      </c>
      <c r="H16">
        <v>100</v>
      </c>
      <c r="I16" t="s">
        <v>73</v>
      </c>
      <c r="J16" t="s">
        <v>73</v>
      </c>
      <c r="K16">
        <v>10</v>
      </c>
      <c r="L16">
        <v>8</v>
      </c>
      <c r="M16" t="s">
        <v>73</v>
      </c>
      <c r="N16" t="s">
        <v>73</v>
      </c>
      <c r="O16" t="s">
        <v>73</v>
      </c>
      <c r="P16">
        <v>12</v>
      </c>
      <c r="Q16" t="s">
        <v>73</v>
      </c>
      <c r="R16" t="s">
        <v>73</v>
      </c>
      <c r="S16" t="s">
        <v>73</v>
      </c>
      <c r="T16" t="s">
        <v>73</v>
      </c>
      <c r="U16">
        <v>13</v>
      </c>
      <c r="V16">
        <v>13</v>
      </c>
      <c r="W16">
        <v>13</v>
      </c>
      <c r="X16" t="s">
        <v>73</v>
      </c>
      <c r="Y16" t="s">
        <v>73</v>
      </c>
      <c r="Z16" t="s">
        <v>73</v>
      </c>
      <c r="AA16" t="s">
        <v>73</v>
      </c>
      <c r="AB16">
        <v>12</v>
      </c>
      <c r="AC16">
        <v>14</v>
      </c>
      <c r="AD16" t="s">
        <v>73</v>
      </c>
      <c r="AE16">
        <v>14</v>
      </c>
      <c r="AF16" t="s">
        <v>73</v>
      </c>
      <c r="AG16">
        <v>11</v>
      </c>
      <c r="AH16">
        <v>12</v>
      </c>
      <c r="AI16" t="s">
        <v>73</v>
      </c>
      <c r="AJ16">
        <v>8</v>
      </c>
      <c r="AK16" t="s">
        <v>73</v>
      </c>
      <c r="AL16" t="s">
        <v>73</v>
      </c>
      <c r="AM16">
        <v>8</v>
      </c>
      <c r="AN16" t="s">
        <v>73</v>
      </c>
      <c r="AO16" t="s">
        <v>73</v>
      </c>
      <c r="AP16" t="s">
        <v>73</v>
      </c>
      <c r="AQ16">
        <v>7</v>
      </c>
      <c r="AR16" t="s">
        <v>73</v>
      </c>
      <c r="AS16">
        <v>24</v>
      </c>
      <c r="AT16" t="s">
        <v>73</v>
      </c>
      <c r="AU16">
        <v>23</v>
      </c>
      <c r="AV16">
        <v>20</v>
      </c>
      <c r="AW16" t="s">
        <v>73</v>
      </c>
      <c r="AX16">
        <v>20</v>
      </c>
      <c r="AY16">
        <v>13</v>
      </c>
      <c r="AZ16">
        <v>14</v>
      </c>
      <c r="BA16" t="s">
        <v>73</v>
      </c>
      <c r="BB16" t="s">
        <v>73</v>
      </c>
      <c r="BC16">
        <v>9</v>
      </c>
      <c r="BD16">
        <v>10</v>
      </c>
    </row>
    <row r="17" spans="1:56" x14ac:dyDescent="0.25">
      <c r="A17">
        <v>36</v>
      </c>
      <c r="B17">
        <v>9</v>
      </c>
      <c r="C17">
        <v>120</v>
      </c>
      <c r="D17">
        <v>122</v>
      </c>
      <c r="E17">
        <v>120</v>
      </c>
      <c r="F17">
        <v>102</v>
      </c>
      <c r="G17">
        <v>103</v>
      </c>
      <c r="H17">
        <v>102</v>
      </c>
      <c r="I17" t="s">
        <v>73</v>
      </c>
      <c r="J17" t="s">
        <v>73</v>
      </c>
      <c r="K17" t="s">
        <v>73</v>
      </c>
      <c r="L17" t="s">
        <v>73</v>
      </c>
      <c r="M17" t="s">
        <v>73</v>
      </c>
      <c r="N17">
        <v>8</v>
      </c>
      <c r="O17">
        <v>13</v>
      </c>
      <c r="P17" t="s">
        <v>73</v>
      </c>
      <c r="Q17">
        <v>13</v>
      </c>
      <c r="R17" t="s">
        <v>73</v>
      </c>
      <c r="S17">
        <v>12</v>
      </c>
      <c r="T17" t="s">
        <v>73</v>
      </c>
      <c r="U17" t="s">
        <v>73</v>
      </c>
      <c r="V17" t="s">
        <v>73</v>
      </c>
      <c r="W17" t="s">
        <v>73</v>
      </c>
      <c r="X17">
        <v>13</v>
      </c>
      <c r="Y17" t="s">
        <v>73</v>
      </c>
      <c r="Z17" t="s">
        <v>73</v>
      </c>
      <c r="AA17">
        <v>14</v>
      </c>
      <c r="AB17">
        <v>13</v>
      </c>
      <c r="AC17" t="s">
        <v>73</v>
      </c>
      <c r="AD17">
        <v>14</v>
      </c>
      <c r="AE17" t="s">
        <v>73</v>
      </c>
      <c r="AF17" t="s">
        <v>73</v>
      </c>
      <c r="AG17" t="s">
        <v>73</v>
      </c>
      <c r="AH17" t="s">
        <v>73</v>
      </c>
      <c r="AI17">
        <v>11</v>
      </c>
      <c r="AJ17" t="s">
        <v>73</v>
      </c>
      <c r="AK17" t="s">
        <v>73</v>
      </c>
      <c r="AL17">
        <v>8</v>
      </c>
      <c r="AM17" t="s">
        <v>73</v>
      </c>
      <c r="AN17">
        <v>7</v>
      </c>
      <c r="AO17">
        <v>9</v>
      </c>
      <c r="AP17" t="s">
        <v>73</v>
      </c>
      <c r="AQ17" t="s">
        <v>73</v>
      </c>
      <c r="AR17">
        <v>8</v>
      </c>
      <c r="AS17">
        <v>25</v>
      </c>
      <c r="AT17">
        <v>27</v>
      </c>
      <c r="AU17">
        <v>24</v>
      </c>
      <c r="AV17" t="s">
        <v>73</v>
      </c>
      <c r="AW17">
        <v>20</v>
      </c>
      <c r="AX17" t="s">
        <v>73</v>
      </c>
      <c r="AY17" t="s">
        <v>73</v>
      </c>
      <c r="AZ17" t="s">
        <v>73</v>
      </c>
      <c r="BA17">
        <v>13</v>
      </c>
      <c r="BB17">
        <v>10</v>
      </c>
      <c r="BC17">
        <v>10</v>
      </c>
      <c r="BD17" t="s">
        <v>73</v>
      </c>
    </row>
    <row r="18" spans="1:56" x14ac:dyDescent="0.25">
      <c r="A18">
        <v>37</v>
      </c>
      <c r="B18">
        <v>11</v>
      </c>
      <c r="C18">
        <v>122</v>
      </c>
      <c r="D18">
        <v>124</v>
      </c>
      <c r="E18">
        <v>121</v>
      </c>
      <c r="F18">
        <v>105</v>
      </c>
      <c r="G18">
        <v>105</v>
      </c>
      <c r="H18">
        <v>105</v>
      </c>
      <c r="I18">
        <v>11</v>
      </c>
      <c r="J18" t="s">
        <v>73</v>
      </c>
      <c r="K18" t="s">
        <v>73</v>
      </c>
      <c r="L18" t="s">
        <v>73</v>
      </c>
      <c r="M18">
        <v>9</v>
      </c>
      <c r="N18" t="s">
        <v>73</v>
      </c>
      <c r="O18" t="s">
        <v>73</v>
      </c>
      <c r="P18">
        <v>13</v>
      </c>
      <c r="Q18" t="s">
        <v>73</v>
      </c>
      <c r="R18">
        <v>12</v>
      </c>
      <c r="S18" t="s">
        <v>73</v>
      </c>
      <c r="T18" t="s">
        <v>73</v>
      </c>
      <c r="U18" t="s">
        <v>73</v>
      </c>
      <c r="V18">
        <v>14</v>
      </c>
      <c r="W18" t="s">
        <v>73</v>
      </c>
      <c r="X18" t="s">
        <v>73</v>
      </c>
      <c r="Y18" t="s">
        <v>73</v>
      </c>
      <c r="Z18">
        <v>13</v>
      </c>
      <c r="AA18" t="s">
        <v>73</v>
      </c>
      <c r="AB18">
        <v>14</v>
      </c>
      <c r="AC18">
        <v>15</v>
      </c>
      <c r="AD18" t="s">
        <v>73</v>
      </c>
      <c r="AE18">
        <v>15</v>
      </c>
      <c r="AF18">
        <v>14</v>
      </c>
      <c r="AG18" t="s">
        <v>73</v>
      </c>
      <c r="AH18" t="s">
        <v>73</v>
      </c>
      <c r="AI18" t="s">
        <v>73</v>
      </c>
      <c r="AJ18" t="s">
        <v>73</v>
      </c>
      <c r="AK18" t="s">
        <v>73</v>
      </c>
      <c r="AL18">
        <v>9</v>
      </c>
      <c r="AM18" t="s">
        <v>73</v>
      </c>
      <c r="AN18" t="s">
        <v>73</v>
      </c>
      <c r="AO18" t="s">
        <v>73</v>
      </c>
      <c r="AP18">
        <v>8</v>
      </c>
      <c r="AQ18" t="s">
        <v>73</v>
      </c>
      <c r="AR18" t="s">
        <v>73</v>
      </c>
      <c r="AS18" t="s">
        <v>73</v>
      </c>
      <c r="AT18">
        <v>28</v>
      </c>
      <c r="AU18" t="s">
        <v>73</v>
      </c>
      <c r="AV18">
        <v>21</v>
      </c>
      <c r="AW18">
        <v>21</v>
      </c>
      <c r="AX18">
        <v>21</v>
      </c>
      <c r="AY18" t="s">
        <v>73</v>
      </c>
      <c r="AZ18" t="s">
        <v>73</v>
      </c>
      <c r="BA18" t="s">
        <v>73</v>
      </c>
      <c r="BB18" t="s">
        <v>73</v>
      </c>
      <c r="BC18" t="s">
        <v>73</v>
      </c>
      <c r="BD18" t="s">
        <v>73</v>
      </c>
    </row>
    <row r="19" spans="1:56" x14ac:dyDescent="0.25">
      <c r="A19">
        <v>38</v>
      </c>
      <c r="B19">
        <v>13</v>
      </c>
      <c r="C19">
        <v>124</v>
      </c>
      <c r="D19">
        <v>127</v>
      </c>
      <c r="E19">
        <v>124</v>
      </c>
      <c r="F19">
        <v>106</v>
      </c>
      <c r="G19">
        <v>107</v>
      </c>
      <c r="H19">
        <v>106</v>
      </c>
      <c r="I19" t="s">
        <v>73</v>
      </c>
      <c r="J19">
        <v>12</v>
      </c>
      <c r="K19">
        <v>11</v>
      </c>
      <c r="L19">
        <v>9</v>
      </c>
      <c r="M19" t="s">
        <v>73</v>
      </c>
      <c r="N19" t="s">
        <v>73</v>
      </c>
      <c r="O19" t="s">
        <v>73</v>
      </c>
      <c r="P19" t="s">
        <v>73</v>
      </c>
      <c r="Q19" t="s">
        <v>73</v>
      </c>
      <c r="R19" t="s">
        <v>73</v>
      </c>
      <c r="S19" t="s">
        <v>73</v>
      </c>
      <c r="T19">
        <v>12</v>
      </c>
      <c r="U19">
        <v>14</v>
      </c>
      <c r="V19" t="s">
        <v>73</v>
      </c>
      <c r="W19">
        <v>14</v>
      </c>
      <c r="X19" t="s">
        <v>73</v>
      </c>
      <c r="Y19">
        <v>14</v>
      </c>
      <c r="Z19" t="s">
        <v>73</v>
      </c>
      <c r="AA19">
        <v>15</v>
      </c>
      <c r="AB19" t="s">
        <v>73</v>
      </c>
      <c r="AC19" t="s">
        <v>73</v>
      </c>
      <c r="AD19" t="s">
        <v>73</v>
      </c>
      <c r="AE19" t="s">
        <v>73</v>
      </c>
      <c r="AF19" t="s">
        <v>73</v>
      </c>
      <c r="AG19">
        <v>12</v>
      </c>
      <c r="AH19" t="s">
        <v>73</v>
      </c>
      <c r="AI19" t="s">
        <v>73</v>
      </c>
      <c r="AJ19">
        <v>9</v>
      </c>
      <c r="AK19">
        <v>9</v>
      </c>
      <c r="AL19" t="s">
        <v>73</v>
      </c>
      <c r="AM19">
        <v>9</v>
      </c>
      <c r="AN19">
        <v>8</v>
      </c>
      <c r="AO19" t="s">
        <v>73</v>
      </c>
      <c r="AP19" t="s">
        <v>73</v>
      </c>
      <c r="AQ19" t="s">
        <v>73</v>
      </c>
      <c r="AR19" t="s">
        <v>73</v>
      </c>
      <c r="AS19">
        <v>26</v>
      </c>
      <c r="AT19" t="s">
        <v>73</v>
      </c>
      <c r="AU19">
        <v>25</v>
      </c>
      <c r="AV19" t="s">
        <v>73</v>
      </c>
      <c r="AW19" t="s">
        <v>73</v>
      </c>
      <c r="AX19" t="s">
        <v>73</v>
      </c>
      <c r="AY19">
        <v>14</v>
      </c>
      <c r="AZ19" t="s">
        <v>73</v>
      </c>
      <c r="BA19" t="s">
        <v>73</v>
      </c>
      <c r="BB19">
        <v>11</v>
      </c>
      <c r="BC19" t="s">
        <v>73</v>
      </c>
      <c r="BD19">
        <v>11</v>
      </c>
    </row>
    <row r="20" spans="1:56" x14ac:dyDescent="0.25">
      <c r="A20">
        <v>39</v>
      </c>
      <c r="B20">
        <v>15</v>
      </c>
      <c r="C20">
        <v>126</v>
      </c>
      <c r="D20">
        <v>131</v>
      </c>
      <c r="E20">
        <v>125</v>
      </c>
      <c r="F20">
        <v>110</v>
      </c>
      <c r="G20">
        <v>112</v>
      </c>
      <c r="H20">
        <v>110</v>
      </c>
      <c r="I20" t="s">
        <v>73</v>
      </c>
      <c r="J20" t="s">
        <v>73</v>
      </c>
      <c r="K20" t="s">
        <v>73</v>
      </c>
      <c r="L20" t="s">
        <v>73</v>
      </c>
      <c r="M20">
        <v>10</v>
      </c>
      <c r="N20">
        <v>9</v>
      </c>
      <c r="O20" t="s">
        <v>73</v>
      </c>
      <c r="P20" t="s">
        <v>73</v>
      </c>
      <c r="Q20" t="s">
        <v>73</v>
      </c>
      <c r="R20" t="s">
        <v>73</v>
      </c>
      <c r="S20" t="s">
        <v>73</v>
      </c>
      <c r="T20" t="s">
        <v>73</v>
      </c>
      <c r="U20" t="s">
        <v>73</v>
      </c>
      <c r="V20" t="s">
        <v>73</v>
      </c>
      <c r="W20" t="s">
        <v>73</v>
      </c>
      <c r="X20" t="s">
        <v>73</v>
      </c>
      <c r="Y20" t="s">
        <v>73</v>
      </c>
      <c r="Z20" t="s">
        <v>73</v>
      </c>
      <c r="AA20" t="s">
        <v>73</v>
      </c>
      <c r="AB20">
        <v>15</v>
      </c>
      <c r="AC20">
        <v>16</v>
      </c>
      <c r="AD20">
        <v>15</v>
      </c>
      <c r="AE20" t="s">
        <v>73</v>
      </c>
      <c r="AF20">
        <v>15</v>
      </c>
      <c r="AG20" t="s">
        <v>73</v>
      </c>
      <c r="AH20">
        <v>13</v>
      </c>
      <c r="AI20">
        <v>12</v>
      </c>
      <c r="AJ20" t="s">
        <v>73</v>
      </c>
      <c r="AK20" t="s">
        <v>73</v>
      </c>
      <c r="AL20" t="s">
        <v>73</v>
      </c>
      <c r="AM20" t="s">
        <v>73</v>
      </c>
      <c r="AN20" t="s">
        <v>73</v>
      </c>
      <c r="AO20">
        <v>10</v>
      </c>
      <c r="AP20" t="s">
        <v>73</v>
      </c>
      <c r="AQ20" t="s">
        <v>73</v>
      </c>
      <c r="AR20">
        <v>9</v>
      </c>
      <c r="AS20">
        <v>27</v>
      </c>
      <c r="AT20" t="s">
        <v>73</v>
      </c>
      <c r="AU20">
        <v>26</v>
      </c>
      <c r="AV20">
        <v>22</v>
      </c>
      <c r="AW20">
        <v>22</v>
      </c>
      <c r="AX20">
        <v>22</v>
      </c>
      <c r="AY20" t="s">
        <v>73</v>
      </c>
      <c r="AZ20">
        <v>15</v>
      </c>
      <c r="BA20">
        <v>14</v>
      </c>
      <c r="BB20" t="s">
        <v>73</v>
      </c>
      <c r="BC20">
        <v>11</v>
      </c>
      <c r="BD20" t="s">
        <v>73</v>
      </c>
    </row>
    <row r="21" spans="1:56" x14ac:dyDescent="0.25">
      <c r="A21">
        <v>40</v>
      </c>
      <c r="B21">
        <v>17</v>
      </c>
      <c r="C21">
        <v>129</v>
      </c>
      <c r="D21">
        <v>133</v>
      </c>
      <c r="E21">
        <v>127</v>
      </c>
      <c r="F21">
        <v>112</v>
      </c>
      <c r="G21">
        <v>113</v>
      </c>
      <c r="H21">
        <v>112</v>
      </c>
      <c r="I21" t="s">
        <v>73</v>
      </c>
      <c r="J21" t="s">
        <v>73</v>
      </c>
      <c r="K21" t="s">
        <v>73</v>
      </c>
      <c r="L21" t="s">
        <v>73</v>
      </c>
      <c r="M21" t="s">
        <v>73</v>
      </c>
      <c r="N21" t="s">
        <v>73</v>
      </c>
      <c r="O21">
        <v>14</v>
      </c>
      <c r="P21">
        <v>14</v>
      </c>
      <c r="Q21">
        <v>14</v>
      </c>
      <c r="R21">
        <v>13</v>
      </c>
      <c r="S21">
        <v>13</v>
      </c>
      <c r="T21" t="s">
        <v>73</v>
      </c>
      <c r="U21">
        <v>15</v>
      </c>
      <c r="V21">
        <v>16</v>
      </c>
      <c r="W21" t="s">
        <v>73</v>
      </c>
      <c r="X21">
        <v>14</v>
      </c>
      <c r="Y21" t="s">
        <v>73</v>
      </c>
      <c r="Z21" t="s">
        <v>73</v>
      </c>
      <c r="AA21">
        <v>16</v>
      </c>
      <c r="AB21" t="s">
        <v>73</v>
      </c>
      <c r="AC21" t="s">
        <v>73</v>
      </c>
      <c r="AD21" t="s">
        <v>73</v>
      </c>
      <c r="AE21">
        <v>16</v>
      </c>
      <c r="AF21" t="s">
        <v>73</v>
      </c>
      <c r="AG21" t="s">
        <v>73</v>
      </c>
      <c r="AH21" t="s">
        <v>73</v>
      </c>
      <c r="AI21" t="s">
        <v>73</v>
      </c>
      <c r="AJ21" t="s">
        <v>73</v>
      </c>
      <c r="AK21" t="s">
        <v>73</v>
      </c>
      <c r="AL21" t="s">
        <v>73</v>
      </c>
      <c r="AM21" t="s">
        <v>73</v>
      </c>
      <c r="AN21" t="s">
        <v>73</v>
      </c>
      <c r="AO21" t="s">
        <v>73</v>
      </c>
      <c r="AP21" t="s">
        <v>73</v>
      </c>
      <c r="AQ21">
        <v>8</v>
      </c>
      <c r="AR21" t="s">
        <v>73</v>
      </c>
      <c r="AS21" t="s">
        <v>73</v>
      </c>
      <c r="AT21">
        <v>29</v>
      </c>
      <c r="AU21">
        <v>27</v>
      </c>
      <c r="AV21">
        <v>23</v>
      </c>
      <c r="AW21">
        <v>24</v>
      </c>
      <c r="AX21" t="s">
        <v>73</v>
      </c>
      <c r="AY21" t="s">
        <v>73</v>
      </c>
      <c r="AZ21" t="s">
        <v>73</v>
      </c>
      <c r="BA21" t="s">
        <v>73</v>
      </c>
      <c r="BB21">
        <v>12</v>
      </c>
      <c r="BC21" t="s">
        <v>73</v>
      </c>
      <c r="BD21">
        <v>12</v>
      </c>
    </row>
    <row r="22" spans="1:56" x14ac:dyDescent="0.25">
      <c r="A22">
        <v>41</v>
      </c>
      <c r="B22">
        <v>20</v>
      </c>
      <c r="C22">
        <v>132</v>
      </c>
      <c r="D22">
        <v>134</v>
      </c>
      <c r="E22">
        <v>130</v>
      </c>
      <c r="F22">
        <v>114</v>
      </c>
      <c r="G22">
        <v>114</v>
      </c>
      <c r="H22">
        <v>114</v>
      </c>
      <c r="I22">
        <v>12</v>
      </c>
      <c r="J22" t="s">
        <v>73</v>
      </c>
      <c r="K22" t="s">
        <v>73</v>
      </c>
      <c r="L22">
        <v>10</v>
      </c>
      <c r="M22">
        <v>11</v>
      </c>
      <c r="N22" t="s">
        <v>73</v>
      </c>
      <c r="O22" t="s">
        <v>73</v>
      </c>
      <c r="P22" t="s">
        <v>73</v>
      </c>
      <c r="Q22" t="s">
        <v>73</v>
      </c>
      <c r="R22" t="s">
        <v>73</v>
      </c>
      <c r="S22" t="s">
        <v>73</v>
      </c>
      <c r="T22">
        <v>13</v>
      </c>
      <c r="U22" t="s">
        <v>73</v>
      </c>
      <c r="V22" t="s">
        <v>73</v>
      </c>
      <c r="W22">
        <v>15</v>
      </c>
      <c r="X22" t="s">
        <v>73</v>
      </c>
      <c r="Y22">
        <v>15</v>
      </c>
      <c r="Z22">
        <v>14</v>
      </c>
      <c r="AA22" t="s">
        <v>73</v>
      </c>
      <c r="AB22">
        <v>16</v>
      </c>
      <c r="AC22">
        <v>17</v>
      </c>
      <c r="AD22" t="s">
        <v>73</v>
      </c>
      <c r="AE22" t="s">
        <v>73</v>
      </c>
      <c r="AF22" t="s">
        <v>73</v>
      </c>
      <c r="AG22">
        <v>13</v>
      </c>
      <c r="AH22" t="s">
        <v>73</v>
      </c>
      <c r="AI22" t="s">
        <v>73</v>
      </c>
      <c r="AJ22">
        <v>10</v>
      </c>
      <c r="AK22">
        <v>10</v>
      </c>
      <c r="AL22">
        <v>10</v>
      </c>
      <c r="AM22" t="s">
        <v>73</v>
      </c>
      <c r="AN22" t="s">
        <v>73</v>
      </c>
      <c r="AO22" t="s">
        <v>73</v>
      </c>
      <c r="AP22">
        <v>9</v>
      </c>
      <c r="AQ22" t="s">
        <v>73</v>
      </c>
      <c r="AR22" t="s">
        <v>73</v>
      </c>
      <c r="AS22">
        <v>28</v>
      </c>
      <c r="AT22">
        <v>30</v>
      </c>
      <c r="AU22" t="s">
        <v>73</v>
      </c>
      <c r="AV22">
        <v>24</v>
      </c>
      <c r="AW22">
        <v>25</v>
      </c>
      <c r="AX22">
        <v>23</v>
      </c>
      <c r="AY22">
        <v>15</v>
      </c>
      <c r="AZ22" t="s">
        <v>73</v>
      </c>
      <c r="BA22" t="s">
        <v>73</v>
      </c>
      <c r="BB22" t="s">
        <v>73</v>
      </c>
      <c r="BC22">
        <v>12</v>
      </c>
      <c r="BD22" t="s">
        <v>73</v>
      </c>
    </row>
    <row r="23" spans="1:56" x14ac:dyDescent="0.25">
      <c r="A23">
        <v>42</v>
      </c>
      <c r="B23">
        <v>23</v>
      </c>
      <c r="C23">
        <v>133</v>
      </c>
      <c r="D23">
        <v>137</v>
      </c>
      <c r="E23">
        <v>132</v>
      </c>
      <c r="F23">
        <v>116</v>
      </c>
      <c r="G23">
        <v>118</v>
      </c>
      <c r="H23">
        <v>116</v>
      </c>
      <c r="I23" t="s">
        <v>73</v>
      </c>
      <c r="J23">
        <v>13</v>
      </c>
      <c r="K23">
        <v>12</v>
      </c>
      <c r="L23" t="s">
        <v>73</v>
      </c>
      <c r="M23" t="s">
        <v>73</v>
      </c>
      <c r="N23">
        <v>10</v>
      </c>
      <c r="O23" t="s">
        <v>73</v>
      </c>
      <c r="P23" t="s">
        <v>73</v>
      </c>
      <c r="Q23" t="s">
        <v>73</v>
      </c>
      <c r="R23" t="s">
        <v>73</v>
      </c>
      <c r="S23">
        <v>14</v>
      </c>
      <c r="T23" t="s">
        <v>73</v>
      </c>
      <c r="U23">
        <v>16</v>
      </c>
      <c r="V23" t="s">
        <v>73</v>
      </c>
      <c r="W23" t="s">
        <v>73</v>
      </c>
      <c r="X23" t="s">
        <v>73</v>
      </c>
      <c r="Y23" t="s">
        <v>73</v>
      </c>
      <c r="Z23" t="s">
        <v>73</v>
      </c>
      <c r="AA23">
        <v>17</v>
      </c>
      <c r="AB23">
        <v>17</v>
      </c>
      <c r="AC23" t="s">
        <v>73</v>
      </c>
      <c r="AD23">
        <v>16</v>
      </c>
      <c r="AE23" t="s">
        <v>73</v>
      </c>
      <c r="AF23" t="s">
        <v>73</v>
      </c>
      <c r="AG23" t="s">
        <v>73</v>
      </c>
      <c r="AH23">
        <v>14</v>
      </c>
      <c r="AI23">
        <v>13</v>
      </c>
      <c r="AJ23" t="s">
        <v>73</v>
      </c>
      <c r="AK23" t="s">
        <v>73</v>
      </c>
      <c r="AL23" t="s">
        <v>73</v>
      </c>
      <c r="AM23">
        <v>10</v>
      </c>
      <c r="AN23">
        <v>9</v>
      </c>
      <c r="AO23" t="s">
        <v>73</v>
      </c>
      <c r="AP23" t="s">
        <v>73</v>
      </c>
      <c r="AQ23" t="s">
        <v>73</v>
      </c>
      <c r="AR23">
        <v>10</v>
      </c>
      <c r="AS23" t="s">
        <v>73</v>
      </c>
      <c r="AT23">
        <v>31</v>
      </c>
      <c r="AU23">
        <v>28</v>
      </c>
      <c r="AV23" t="s">
        <v>73</v>
      </c>
      <c r="AW23" t="s">
        <v>73</v>
      </c>
      <c r="AX23">
        <v>24</v>
      </c>
      <c r="AY23" t="s">
        <v>73</v>
      </c>
      <c r="AZ23" t="s">
        <v>73</v>
      </c>
      <c r="BA23">
        <v>15</v>
      </c>
      <c r="BB23">
        <v>13</v>
      </c>
      <c r="BC23" t="s">
        <v>73</v>
      </c>
      <c r="BD23">
        <v>13</v>
      </c>
    </row>
    <row r="24" spans="1:56" x14ac:dyDescent="0.25">
      <c r="A24">
        <v>43</v>
      </c>
      <c r="B24">
        <v>26</v>
      </c>
      <c r="C24">
        <v>135</v>
      </c>
      <c r="D24">
        <v>139</v>
      </c>
      <c r="E24">
        <v>133</v>
      </c>
      <c r="F24">
        <v>119</v>
      </c>
      <c r="G24">
        <v>121</v>
      </c>
      <c r="H24">
        <v>119</v>
      </c>
      <c r="I24" t="s">
        <v>73</v>
      </c>
      <c r="J24" t="s">
        <v>73</v>
      </c>
      <c r="K24" t="s">
        <v>73</v>
      </c>
      <c r="L24">
        <v>11</v>
      </c>
      <c r="M24" t="s">
        <v>73</v>
      </c>
      <c r="N24" t="s">
        <v>73</v>
      </c>
      <c r="O24">
        <v>15</v>
      </c>
      <c r="P24">
        <v>15</v>
      </c>
      <c r="Q24">
        <v>15</v>
      </c>
      <c r="R24">
        <v>14</v>
      </c>
      <c r="S24" t="s">
        <v>73</v>
      </c>
      <c r="T24">
        <v>14</v>
      </c>
      <c r="U24" t="s">
        <v>73</v>
      </c>
      <c r="V24" t="s">
        <v>73</v>
      </c>
      <c r="W24">
        <v>16</v>
      </c>
      <c r="X24">
        <v>15</v>
      </c>
      <c r="Y24" t="s">
        <v>73</v>
      </c>
      <c r="Z24">
        <v>15</v>
      </c>
      <c r="AA24">
        <v>18</v>
      </c>
      <c r="AB24">
        <v>18</v>
      </c>
      <c r="AC24" t="s">
        <v>73</v>
      </c>
      <c r="AD24" t="s">
        <v>73</v>
      </c>
      <c r="AE24">
        <v>17</v>
      </c>
      <c r="AF24">
        <v>16</v>
      </c>
      <c r="AG24" t="s">
        <v>73</v>
      </c>
      <c r="AH24" t="s">
        <v>73</v>
      </c>
      <c r="AI24" t="s">
        <v>73</v>
      </c>
      <c r="AJ24" t="s">
        <v>73</v>
      </c>
      <c r="AK24">
        <v>11</v>
      </c>
      <c r="AL24" t="s">
        <v>73</v>
      </c>
      <c r="AM24" t="s">
        <v>73</v>
      </c>
      <c r="AN24" t="s">
        <v>73</v>
      </c>
      <c r="AO24">
        <v>11</v>
      </c>
      <c r="AP24" t="s">
        <v>73</v>
      </c>
      <c r="AQ24" t="s">
        <v>73</v>
      </c>
      <c r="AR24" t="s">
        <v>73</v>
      </c>
      <c r="AS24">
        <v>29</v>
      </c>
      <c r="AT24" t="s">
        <v>73</v>
      </c>
      <c r="AU24" t="s">
        <v>73</v>
      </c>
      <c r="AV24">
        <v>25</v>
      </c>
      <c r="AW24">
        <v>26</v>
      </c>
      <c r="AX24">
        <v>25</v>
      </c>
      <c r="AY24" t="s">
        <v>73</v>
      </c>
      <c r="AZ24">
        <v>16</v>
      </c>
      <c r="BA24" t="s">
        <v>73</v>
      </c>
      <c r="BB24" t="s">
        <v>73</v>
      </c>
      <c r="BC24">
        <v>13</v>
      </c>
      <c r="BD24" t="s">
        <v>73</v>
      </c>
    </row>
    <row r="25" spans="1:56" x14ac:dyDescent="0.25">
      <c r="A25">
        <v>44</v>
      </c>
      <c r="B25">
        <v>29</v>
      </c>
      <c r="C25">
        <v>138</v>
      </c>
      <c r="D25">
        <v>143</v>
      </c>
      <c r="E25">
        <v>135</v>
      </c>
      <c r="F25">
        <v>122</v>
      </c>
      <c r="G25">
        <v>124</v>
      </c>
      <c r="H25">
        <v>121</v>
      </c>
      <c r="I25">
        <v>13</v>
      </c>
      <c r="J25" t="s">
        <v>73</v>
      </c>
      <c r="K25">
        <v>13</v>
      </c>
      <c r="L25" t="s">
        <v>73</v>
      </c>
      <c r="M25" t="s">
        <v>73</v>
      </c>
      <c r="N25" t="s">
        <v>73</v>
      </c>
      <c r="O25" t="s">
        <v>73</v>
      </c>
      <c r="P25" t="s">
        <v>73</v>
      </c>
      <c r="Q25" t="s">
        <v>73</v>
      </c>
      <c r="R25" t="s">
        <v>73</v>
      </c>
      <c r="S25" t="s">
        <v>73</v>
      </c>
      <c r="T25" t="s">
        <v>73</v>
      </c>
      <c r="U25" t="s">
        <v>73</v>
      </c>
      <c r="V25">
        <v>17</v>
      </c>
      <c r="W25" t="s">
        <v>73</v>
      </c>
      <c r="X25" t="s">
        <v>73</v>
      </c>
      <c r="Y25" t="s">
        <v>73</v>
      </c>
      <c r="Z25" t="s">
        <v>73</v>
      </c>
      <c r="AA25" t="s">
        <v>73</v>
      </c>
      <c r="AB25" t="s">
        <v>73</v>
      </c>
      <c r="AC25">
        <v>18</v>
      </c>
      <c r="AD25" t="s">
        <v>73</v>
      </c>
      <c r="AE25" t="s">
        <v>73</v>
      </c>
      <c r="AF25" t="s">
        <v>73</v>
      </c>
      <c r="AG25">
        <v>14</v>
      </c>
      <c r="AH25" t="s">
        <v>73</v>
      </c>
      <c r="AI25">
        <v>14</v>
      </c>
      <c r="AJ25">
        <v>11</v>
      </c>
      <c r="AK25" t="s">
        <v>73</v>
      </c>
      <c r="AL25">
        <v>11</v>
      </c>
      <c r="AM25">
        <v>11</v>
      </c>
      <c r="AN25" t="s">
        <v>73</v>
      </c>
      <c r="AO25" t="s">
        <v>73</v>
      </c>
      <c r="AP25">
        <v>10</v>
      </c>
      <c r="AQ25">
        <v>9</v>
      </c>
      <c r="AR25" t="s">
        <v>73</v>
      </c>
      <c r="AS25">
        <v>30</v>
      </c>
      <c r="AT25">
        <v>32</v>
      </c>
      <c r="AU25">
        <v>29</v>
      </c>
      <c r="AV25">
        <v>26</v>
      </c>
      <c r="AW25" t="s">
        <v>73</v>
      </c>
      <c r="AX25" t="s">
        <v>73</v>
      </c>
      <c r="AY25">
        <v>16</v>
      </c>
      <c r="AZ25" t="s">
        <v>73</v>
      </c>
      <c r="BA25" t="s">
        <v>73</v>
      </c>
      <c r="BB25" t="s">
        <v>73</v>
      </c>
      <c r="BC25" t="s">
        <v>73</v>
      </c>
      <c r="BD25" t="s">
        <v>73</v>
      </c>
    </row>
    <row r="26" spans="1:56" x14ac:dyDescent="0.25">
      <c r="A26">
        <v>45</v>
      </c>
      <c r="B26">
        <v>33</v>
      </c>
      <c r="C26">
        <v>141</v>
      </c>
      <c r="D26">
        <v>145</v>
      </c>
      <c r="E26">
        <v>139</v>
      </c>
      <c r="F26">
        <v>124</v>
      </c>
      <c r="G26">
        <v>125</v>
      </c>
      <c r="H26">
        <v>123</v>
      </c>
      <c r="I26" t="s">
        <v>73</v>
      </c>
      <c r="J26">
        <v>14</v>
      </c>
      <c r="K26" t="s">
        <v>73</v>
      </c>
      <c r="L26" t="s">
        <v>73</v>
      </c>
      <c r="M26">
        <v>12</v>
      </c>
      <c r="N26">
        <v>11</v>
      </c>
      <c r="O26" t="s">
        <v>73</v>
      </c>
      <c r="P26">
        <v>16</v>
      </c>
      <c r="Q26" t="s">
        <v>73</v>
      </c>
      <c r="R26">
        <v>15</v>
      </c>
      <c r="S26">
        <v>15</v>
      </c>
      <c r="T26">
        <v>15</v>
      </c>
      <c r="U26">
        <v>17</v>
      </c>
      <c r="V26" t="s">
        <v>73</v>
      </c>
      <c r="W26" t="s">
        <v>73</v>
      </c>
      <c r="X26">
        <v>16</v>
      </c>
      <c r="Y26">
        <v>16</v>
      </c>
      <c r="Z26" t="s">
        <v>73</v>
      </c>
      <c r="AA26">
        <v>19</v>
      </c>
      <c r="AB26">
        <v>19</v>
      </c>
      <c r="AC26" t="s">
        <v>73</v>
      </c>
      <c r="AD26">
        <v>17</v>
      </c>
      <c r="AE26" t="s">
        <v>73</v>
      </c>
      <c r="AF26" t="s">
        <v>73</v>
      </c>
      <c r="AG26" t="s">
        <v>73</v>
      </c>
      <c r="AH26">
        <v>15</v>
      </c>
      <c r="AI26" t="s">
        <v>73</v>
      </c>
      <c r="AJ26" t="s">
        <v>73</v>
      </c>
      <c r="AK26" t="s">
        <v>73</v>
      </c>
      <c r="AL26" t="s">
        <v>73</v>
      </c>
      <c r="AM26" t="s">
        <v>73</v>
      </c>
      <c r="AN26">
        <v>10</v>
      </c>
      <c r="AO26">
        <v>12</v>
      </c>
      <c r="AP26" t="s">
        <v>73</v>
      </c>
      <c r="AQ26" t="s">
        <v>73</v>
      </c>
      <c r="AR26" t="s">
        <v>73</v>
      </c>
      <c r="AS26" t="s">
        <v>73</v>
      </c>
      <c r="AT26" t="s">
        <v>73</v>
      </c>
      <c r="AU26" t="s">
        <v>73</v>
      </c>
      <c r="AV26" t="s">
        <v>73</v>
      </c>
      <c r="AW26">
        <v>27</v>
      </c>
      <c r="AX26">
        <v>26</v>
      </c>
      <c r="AY26" t="s">
        <v>73</v>
      </c>
      <c r="AZ26" t="s">
        <v>73</v>
      </c>
      <c r="BA26">
        <v>16</v>
      </c>
      <c r="BB26">
        <v>14</v>
      </c>
      <c r="BC26" t="s">
        <v>73</v>
      </c>
      <c r="BD26">
        <v>14</v>
      </c>
    </row>
    <row r="27" spans="1:56" x14ac:dyDescent="0.25">
      <c r="A27">
        <v>46</v>
      </c>
      <c r="B27">
        <v>36</v>
      </c>
      <c r="C27">
        <v>145</v>
      </c>
      <c r="D27">
        <v>146</v>
      </c>
      <c r="E27">
        <v>143</v>
      </c>
      <c r="F27">
        <v>126</v>
      </c>
      <c r="G27">
        <v>129</v>
      </c>
      <c r="H27">
        <v>125</v>
      </c>
      <c r="I27">
        <v>14</v>
      </c>
      <c r="J27" t="s">
        <v>73</v>
      </c>
      <c r="K27" t="s">
        <v>73</v>
      </c>
      <c r="L27" t="s">
        <v>73</v>
      </c>
      <c r="M27" t="s">
        <v>73</v>
      </c>
      <c r="N27" t="s">
        <v>73</v>
      </c>
      <c r="O27">
        <v>16</v>
      </c>
      <c r="P27" t="s">
        <v>73</v>
      </c>
      <c r="Q27">
        <v>16</v>
      </c>
      <c r="R27" t="s">
        <v>73</v>
      </c>
      <c r="S27" t="s">
        <v>73</v>
      </c>
      <c r="T27" t="s">
        <v>73</v>
      </c>
      <c r="U27" t="s">
        <v>73</v>
      </c>
      <c r="V27" t="s">
        <v>73</v>
      </c>
      <c r="W27">
        <v>17</v>
      </c>
      <c r="X27" t="s">
        <v>73</v>
      </c>
      <c r="Y27" t="s">
        <v>73</v>
      </c>
      <c r="Z27">
        <v>16</v>
      </c>
      <c r="AA27" t="s">
        <v>73</v>
      </c>
      <c r="AB27" t="s">
        <v>73</v>
      </c>
      <c r="AC27">
        <v>19</v>
      </c>
      <c r="AD27" t="s">
        <v>73</v>
      </c>
      <c r="AE27" t="s">
        <v>73</v>
      </c>
      <c r="AF27">
        <v>17</v>
      </c>
      <c r="AG27">
        <v>15</v>
      </c>
      <c r="AH27" t="s">
        <v>73</v>
      </c>
      <c r="AI27">
        <v>15</v>
      </c>
      <c r="AJ27">
        <v>12</v>
      </c>
      <c r="AK27">
        <v>12</v>
      </c>
      <c r="AL27">
        <v>12</v>
      </c>
      <c r="AM27" t="s">
        <v>73</v>
      </c>
      <c r="AN27" t="s">
        <v>73</v>
      </c>
      <c r="AO27" t="s">
        <v>73</v>
      </c>
      <c r="AP27" t="s">
        <v>73</v>
      </c>
      <c r="AQ27" t="s">
        <v>73</v>
      </c>
      <c r="AR27">
        <v>11</v>
      </c>
      <c r="AS27">
        <v>31</v>
      </c>
      <c r="AT27" t="s">
        <v>73</v>
      </c>
      <c r="AU27">
        <v>30</v>
      </c>
      <c r="AV27">
        <v>27</v>
      </c>
      <c r="AW27" t="s">
        <v>73</v>
      </c>
      <c r="AX27" t="s">
        <v>73</v>
      </c>
      <c r="AY27" t="s">
        <v>73</v>
      </c>
      <c r="AZ27">
        <v>17</v>
      </c>
      <c r="BA27" t="s">
        <v>73</v>
      </c>
      <c r="BB27" t="s">
        <v>73</v>
      </c>
      <c r="BC27">
        <v>14</v>
      </c>
      <c r="BD27" t="s">
        <v>73</v>
      </c>
    </row>
    <row r="28" spans="1:56" x14ac:dyDescent="0.25">
      <c r="A28">
        <v>47</v>
      </c>
      <c r="B28">
        <v>40</v>
      </c>
      <c r="C28">
        <v>146</v>
      </c>
      <c r="D28">
        <v>147</v>
      </c>
      <c r="E28">
        <v>146</v>
      </c>
      <c r="F28">
        <v>128</v>
      </c>
      <c r="G28">
        <v>131</v>
      </c>
      <c r="H28">
        <v>127</v>
      </c>
      <c r="I28" t="s">
        <v>73</v>
      </c>
      <c r="J28" t="s">
        <v>73</v>
      </c>
      <c r="K28">
        <v>14</v>
      </c>
      <c r="L28">
        <v>12</v>
      </c>
      <c r="M28" t="s">
        <v>73</v>
      </c>
      <c r="N28" t="s">
        <v>73</v>
      </c>
      <c r="O28" t="s">
        <v>73</v>
      </c>
      <c r="P28" t="s">
        <v>73</v>
      </c>
      <c r="Q28" t="s">
        <v>73</v>
      </c>
      <c r="R28">
        <v>16</v>
      </c>
      <c r="S28">
        <v>16</v>
      </c>
      <c r="T28">
        <v>16</v>
      </c>
      <c r="U28" t="s">
        <v>73</v>
      </c>
      <c r="V28" t="s">
        <v>73</v>
      </c>
      <c r="W28" t="s">
        <v>73</v>
      </c>
      <c r="X28" t="s">
        <v>73</v>
      </c>
      <c r="Y28" t="s">
        <v>73</v>
      </c>
      <c r="Z28" t="s">
        <v>73</v>
      </c>
      <c r="AA28" t="s">
        <v>73</v>
      </c>
      <c r="AB28" t="s">
        <v>73</v>
      </c>
      <c r="AC28" t="s">
        <v>73</v>
      </c>
      <c r="AD28" t="s">
        <v>73</v>
      </c>
      <c r="AE28">
        <v>18</v>
      </c>
      <c r="AF28" t="s">
        <v>73</v>
      </c>
      <c r="AG28" t="s">
        <v>73</v>
      </c>
      <c r="AH28" t="s">
        <v>73</v>
      </c>
      <c r="AI28" t="s">
        <v>73</v>
      </c>
      <c r="AJ28" t="s">
        <v>73</v>
      </c>
      <c r="AK28">
        <v>13</v>
      </c>
      <c r="AL28" t="s">
        <v>73</v>
      </c>
      <c r="AM28">
        <v>12</v>
      </c>
      <c r="AN28">
        <v>11</v>
      </c>
      <c r="AO28" t="s">
        <v>73</v>
      </c>
      <c r="AP28" t="s">
        <v>73</v>
      </c>
      <c r="AQ28">
        <v>10</v>
      </c>
      <c r="AR28" t="s">
        <v>73</v>
      </c>
      <c r="AS28">
        <v>32</v>
      </c>
      <c r="AT28">
        <v>33</v>
      </c>
      <c r="AU28">
        <v>31</v>
      </c>
      <c r="AV28" t="s">
        <v>73</v>
      </c>
      <c r="AW28">
        <v>28</v>
      </c>
      <c r="AX28">
        <v>27</v>
      </c>
      <c r="AY28">
        <v>17</v>
      </c>
      <c r="AZ28" t="s">
        <v>73</v>
      </c>
      <c r="BA28" t="s">
        <v>73</v>
      </c>
      <c r="BB28" t="s">
        <v>73</v>
      </c>
      <c r="BC28" t="s">
        <v>73</v>
      </c>
      <c r="BD28" t="s">
        <v>73</v>
      </c>
    </row>
    <row r="29" spans="1:56" x14ac:dyDescent="0.25">
      <c r="A29">
        <v>48</v>
      </c>
      <c r="B29">
        <v>44</v>
      </c>
      <c r="C29">
        <v>148</v>
      </c>
      <c r="D29">
        <v>150</v>
      </c>
      <c r="E29">
        <v>148</v>
      </c>
      <c r="F29">
        <v>131</v>
      </c>
      <c r="G29">
        <v>133</v>
      </c>
      <c r="H29">
        <v>129</v>
      </c>
      <c r="I29" t="s">
        <v>73</v>
      </c>
      <c r="J29">
        <v>15</v>
      </c>
      <c r="K29" t="s">
        <v>73</v>
      </c>
      <c r="L29" t="s">
        <v>73</v>
      </c>
      <c r="M29">
        <v>13</v>
      </c>
      <c r="N29">
        <v>12</v>
      </c>
      <c r="O29" t="s">
        <v>73</v>
      </c>
      <c r="P29" t="s">
        <v>73</v>
      </c>
      <c r="Q29" t="s">
        <v>73</v>
      </c>
      <c r="R29" t="s">
        <v>73</v>
      </c>
      <c r="S29" t="s">
        <v>73</v>
      </c>
      <c r="T29" t="s">
        <v>73</v>
      </c>
      <c r="U29" t="s">
        <v>73</v>
      </c>
      <c r="V29">
        <v>18</v>
      </c>
      <c r="W29" t="s">
        <v>73</v>
      </c>
      <c r="X29" t="s">
        <v>73</v>
      </c>
      <c r="Y29">
        <v>17</v>
      </c>
      <c r="Z29" t="s">
        <v>73</v>
      </c>
      <c r="AA29">
        <v>20</v>
      </c>
      <c r="AB29">
        <v>20</v>
      </c>
      <c r="AC29">
        <v>20</v>
      </c>
      <c r="AD29">
        <v>18</v>
      </c>
      <c r="AE29" t="s">
        <v>73</v>
      </c>
      <c r="AF29">
        <v>18</v>
      </c>
      <c r="AG29">
        <v>16</v>
      </c>
      <c r="AH29">
        <v>16</v>
      </c>
      <c r="AI29" t="s">
        <v>73</v>
      </c>
      <c r="AJ29">
        <v>13</v>
      </c>
      <c r="AK29" t="s">
        <v>73</v>
      </c>
      <c r="AL29" t="s">
        <v>73</v>
      </c>
      <c r="AM29" t="s">
        <v>73</v>
      </c>
      <c r="AN29" t="s">
        <v>73</v>
      </c>
      <c r="AO29">
        <v>13</v>
      </c>
      <c r="AP29">
        <v>11</v>
      </c>
      <c r="AQ29" t="s">
        <v>73</v>
      </c>
      <c r="AR29" t="s">
        <v>73</v>
      </c>
      <c r="AS29" t="s">
        <v>73</v>
      </c>
      <c r="AT29" t="s">
        <v>73</v>
      </c>
      <c r="AU29" t="s">
        <v>73</v>
      </c>
      <c r="AV29">
        <v>28</v>
      </c>
      <c r="AW29">
        <v>29</v>
      </c>
      <c r="AX29">
        <v>28</v>
      </c>
      <c r="AY29" t="s">
        <v>73</v>
      </c>
      <c r="AZ29" t="s">
        <v>73</v>
      </c>
      <c r="BA29">
        <v>17</v>
      </c>
      <c r="BB29">
        <v>15</v>
      </c>
      <c r="BC29">
        <v>15</v>
      </c>
      <c r="BD29">
        <v>15</v>
      </c>
    </row>
    <row r="30" spans="1:56" x14ac:dyDescent="0.25">
      <c r="A30">
        <v>49</v>
      </c>
      <c r="B30">
        <v>48</v>
      </c>
      <c r="C30">
        <v>150</v>
      </c>
      <c r="D30">
        <v>151</v>
      </c>
      <c r="E30">
        <v>149</v>
      </c>
      <c r="F30">
        <v>133</v>
      </c>
      <c r="G30">
        <v>136</v>
      </c>
      <c r="H30">
        <v>132</v>
      </c>
      <c r="I30">
        <v>15</v>
      </c>
      <c r="J30" t="s">
        <v>73</v>
      </c>
      <c r="K30" t="s">
        <v>73</v>
      </c>
      <c r="L30" t="s">
        <v>73</v>
      </c>
      <c r="M30" t="s">
        <v>73</v>
      </c>
      <c r="N30" t="s">
        <v>73</v>
      </c>
      <c r="O30">
        <v>17</v>
      </c>
      <c r="P30">
        <v>17</v>
      </c>
      <c r="Q30">
        <v>17</v>
      </c>
      <c r="R30" t="s">
        <v>73</v>
      </c>
      <c r="S30" t="s">
        <v>73</v>
      </c>
      <c r="T30" t="s">
        <v>73</v>
      </c>
      <c r="U30">
        <v>18</v>
      </c>
      <c r="V30" t="s">
        <v>73</v>
      </c>
      <c r="W30">
        <v>18</v>
      </c>
      <c r="X30">
        <v>17</v>
      </c>
      <c r="Y30" t="s">
        <v>73</v>
      </c>
      <c r="Z30">
        <v>17</v>
      </c>
      <c r="AA30" t="s">
        <v>73</v>
      </c>
      <c r="AB30" t="s">
        <v>73</v>
      </c>
      <c r="AC30" t="s">
        <v>73</v>
      </c>
      <c r="AD30" t="s">
        <v>73</v>
      </c>
      <c r="AE30" t="s">
        <v>73</v>
      </c>
      <c r="AF30" t="s">
        <v>73</v>
      </c>
      <c r="AG30" t="s">
        <v>73</v>
      </c>
      <c r="AH30" t="s">
        <v>73</v>
      </c>
      <c r="AI30">
        <v>16</v>
      </c>
      <c r="AJ30" t="s">
        <v>73</v>
      </c>
      <c r="AK30">
        <v>14</v>
      </c>
      <c r="AL30">
        <v>13</v>
      </c>
      <c r="AM30">
        <v>13</v>
      </c>
      <c r="AN30" t="s">
        <v>73</v>
      </c>
      <c r="AO30" t="s">
        <v>73</v>
      </c>
      <c r="AP30" t="s">
        <v>73</v>
      </c>
      <c r="AQ30" t="s">
        <v>73</v>
      </c>
      <c r="AR30">
        <v>12</v>
      </c>
      <c r="AS30">
        <v>33</v>
      </c>
      <c r="AT30" t="s">
        <v>73</v>
      </c>
      <c r="AU30">
        <v>32</v>
      </c>
      <c r="AV30">
        <v>29</v>
      </c>
      <c r="AW30">
        <v>30</v>
      </c>
      <c r="AX30" t="s">
        <v>73</v>
      </c>
      <c r="AY30" t="s">
        <v>73</v>
      </c>
      <c r="AZ30">
        <v>18</v>
      </c>
      <c r="BA30" t="s">
        <v>73</v>
      </c>
      <c r="BB30" t="s">
        <v>73</v>
      </c>
      <c r="BC30" t="s">
        <v>73</v>
      </c>
      <c r="BD30" t="s">
        <v>73</v>
      </c>
    </row>
    <row r="31" spans="1:56" x14ac:dyDescent="0.25">
      <c r="A31">
        <v>50</v>
      </c>
      <c r="B31">
        <v>52</v>
      </c>
      <c r="C31">
        <v>151</v>
      </c>
      <c r="D31">
        <v>152</v>
      </c>
      <c r="E31">
        <v>151</v>
      </c>
      <c r="F31">
        <v>136</v>
      </c>
      <c r="G31">
        <v>137</v>
      </c>
      <c r="H31">
        <v>135</v>
      </c>
      <c r="I31" t="s">
        <v>73</v>
      </c>
      <c r="J31" t="s">
        <v>73</v>
      </c>
      <c r="K31">
        <v>15</v>
      </c>
      <c r="L31">
        <v>13</v>
      </c>
      <c r="M31">
        <v>14</v>
      </c>
      <c r="N31" t="s">
        <v>73</v>
      </c>
      <c r="O31" t="s">
        <v>73</v>
      </c>
      <c r="P31" t="s">
        <v>73</v>
      </c>
      <c r="Q31" t="s">
        <v>73</v>
      </c>
      <c r="R31">
        <v>17</v>
      </c>
      <c r="S31">
        <v>17</v>
      </c>
      <c r="T31">
        <v>17</v>
      </c>
      <c r="U31" t="s">
        <v>73</v>
      </c>
      <c r="V31" t="s">
        <v>73</v>
      </c>
      <c r="W31" t="s">
        <v>73</v>
      </c>
      <c r="X31" t="s">
        <v>73</v>
      </c>
      <c r="Y31" t="s">
        <v>73</v>
      </c>
      <c r="Z31" t="s">
        <v>73</v>
      </c>
      <c r="AA31">
        <v>21</v>
      </c>
      <c r="AB31" t="s">
        <v>73</v>
      </c>
      <c r="AC31">
        <v>21</v>
      </c>
      <c r="AD31" t="s">
        <v>73</v>
      </c>
      <c r="AE31">
        <v>19</v>
      </c>
      <c r="AF31" t="s">
        <v>73</v>
      </c>
      <c r="AG31" t="s">
        <v>73</v>
      </c>
      <c r="AH31">
        <v>17</v>
      </c>
      <c r="AI31" t="s">
        <v>73</v>
      </c>
      <c r="AJ31">
        <v>14</v>
      </c>
      <c r="AK31" t="s">
        <v>73</v>
      </c>
      <c r="AL31" t="s">
        <v>73</v>
      </c>
      <c r="AM31" t="s">
        <v>73</v>
      </c>
      <c r="AN31">
        <v>12</v>
      </c>
      <c r="AO31">
        <v>14</v>
      </c>
      <c r="AP31" t="s">
        <v>73</v>
      </c>
      <c r="AQ31" t="s">
        <v>73</v>
      </c>
      <c r="AR31" t="s">
        <v>73</v>
      </c>
      <c r="AS31" t="s">
        <v>73</v>
      </c>
      <c r="AT31">
        <v>34</v>
      </c>
      <c r="AU31">
        <v>33</v>
      </c>
      <c r="AV31">
        <v>30</v>
      </c>
      <c r="AW31">
        <v>31</v>
      </c>
      <c r="AX31">
        <v>29</v>
      </c>
      <c r="AY31">
        <v>18</v>
      </c>
      <c r="AZ31" t="s">
        <v>73</v>
      </c>
      <c r="BA31" t="s">
        <v>73</v>
      </c>
      <c r="BB31" t="s">
        <v>73</v>
      </c>
      <c r="BC31" t="s">
        <v>73</v>
      </c>
      <c r="BD31" t="s">
        <v>73</v>
      </c>
    </row>
    <row r="32" spans="1:56" x14ac:dyDescent="0.25">
      <c r="A32">
        <v>51</v>
      </c>
      <c r="B32">
        <v>56</v>
      </c>
      <c r="C32">
        <v>153</v>
      </c>
      <c r="D32">
        <v>154</v>
      </c>
      <c r="E32">
        <v>152</v>
      </c>
      <c r="F32">
        <v>137</v>
      </c>
      <c r="G32">
        <v>140</v>
      </c>
      <c r="H32">
        <v>136</v>
      </c>
      <c r="I32" t="s">
        <v>73</v>
      </c>
      <c r="J32">
        <v>16</v>
      </c>
      <c r="K32" t="s">
        <v>73</v>
      </c>
      <c r="L32" t="s">
        <v>73</v>
      </c>
      <c r="M32" t="s">
        <v>73</v>
      </c>
      <c r="N32">
        <v>13</v>
      </c>
      <c r="O32" t="s">
        <v>73</v>
      </c>
      <c r="P32" t="s">
        <v>73</v>
      </c>
      <c r="Q32" t="s">
        <v>73</v>
      </c>
      <c r="R32" t="s">
        <v>73</v>
      </c>
      <c r="S32" t="s">
        <v>73</v>
      </c>
      <c r="T32" t="s">
        <v>73</v>
      </c>
      <c r="U32" t="s">
        <v>73</v>
      </c>
      <c r="V32">
        <v>19</v>
      </c>
      <c r="W32" t="s">
        <v>73</v>
      </c>
      <c r="X32" t="s">
        <v>73</v>
      </c>
      <c r="Y32" t="s">
        <v>73</v>
      </c>
      <c r="Z32" t="s">
        <v>73</v>
      </c>
      <c r="AA32" t="s">
        <v>73</v>
      </c>
      <c r="AB32">
        <v>21</v>
      </c>
      <c r="AC32" t="s">
        <v>73</v>
      </c>
      <c r="AD32">
        <v>19</v>
      </c>
      <c r="AE32" t="s">
        <v>73</v>
      </c>
      <c r="AF32">
        <v>19</v>
      </c>
      <c r="AG32">
        <v>17</v>
      </c>
      <c r="AH32" t="s">
        <v>73</v>
      </c>
      <c r="AI32" t="s">
        <v>73</v>
      </c>
      <c r="AJ32" t="s">
        <v>73</v>
      </c>
      <c r="AK32" t="s">
        <v>73</v>
      </c>
      <c r="AL32">
        <v>14</v>
      </c>
      <c r="AM32" t="s">
        <v>73</v>
      </c>
      <c r="AN32" t="s">
        <v>73</v>
      </c>
      <c r="AO32" t="s">
        <v>73</v>
      </c>
      <c r="AP32">
        <v>12</v>
      </c>
      <c r="AQ32">
        <v>11</v>
      </c>
      <c r="AR32" t="s">
        <v>73</v>
      </c>
      <c r="AS32">
        <v>34</v>
      </c>
      <c r="AT32" t="s">
        <v>73</v>
      </c>
      <c r="AU32" t="s">
        <v>73</v>
      </c>
      <c r="AV32" t="s">
        <v>73</v>
      </c>
      <c r="AW32" t="s">
        <v>73</v>
      </c>
      <c r="AX32">
        <v>30</v>
      </c>
      <c r="AY32" t="s">
        <v>73</v>
      </c>
      <c r="AZ32" t="s">
        <v>73</v>
      </c>
      <c r="BA32">
        <v>18</v>
      </c>
      <c r="BB32" t="s">
        <v>73</v>
      </c>
      <c r="BC32">
        <v>16</v>
      </c>
      <c r="BD32" t="s">
        <v>73</v>
      </c>
    </row>
    <row r="33" spans="1:56" x14ac:dyDescent="0.25">
      <c r="A33">
        <v>52</v>
      </c>
      <c r="B33">
        <v>60</v>
      </c>
      <c r="C33">
        <v>155</v>
      </c>
      <c r="D33">
        <v>156</v>
      </c>
      <c r="E33">
        <v>154</v>
      </c>
      <c r="F33">
        <v>140</v>
      </c>
      <c r="G33">
        <v>143</v>
      </c>
      <c r="H33">
        <v>139</v>
      </c>
      <c r="I33">
        <v>16</v>
      </c>
      <c r="J33" t="s">
        <v>73</v>
      </c>
      <c r="K33" t="s">
        <v>73</v>
      </c>
      <c r="L33">
        <v>14</v>
      </c>
      <c r="M33" t="s">
        <v>73</v>
      </c>
      <c r="N33" t="s">
        <v>73</v>
      </c>
      <c r="O33">
        <v>18</v>
      </c>
      <c r="P33" t="s">
        <v>73</v>
      </c>
      <c r="Q33">
        <v>18</v>
      </c>
      <c r="R33" t="s">
        <v>73</v>
      </c>
      <c r="S33" t="s">
        <v>73</v>
      </c>
      <c r="T33" t="s">
        <v>73</v>
      </c>
      <c r="U33">
        <v>19</v>
      </c>
      <c r="V33" t="s">
        <v>73</v>
      </c>
      <c r="W33">
        <v>19</v>
      </c>
      <c r="X33">
        <v>18</v>
      </c>
      <c r="Y33">
        <v>18</v>
      </c>
      <c r="Z33" t="s">
        <v>73</v>
      </c>
      <c r="AA33" t="s">
        <v>73</v>
      </c>
      <c r="AB33" t="s">
        <v>73</v>
      </c>
      <c r="AC33">
        <v>22</v>
      </c>
      <c r="AD33" t="s">
        <v>73</v>
      </c>
      <c r="AE33" t="s">
        <v>73</v>
      </c>
      <c r="AF33" t="s">
        <v>73</v>
      </c>
      <c r="AG33" t="s">
        <v>73</v>
      </c>
      <c r="AH33" t="s">
        <v>73</v>
      </c>
      <c r="AI33">
        <v>17</v>
      </c>
      <c r="AJ33" t="s">
        <v>73</v>
      </c>
      <c r="AK33">
        <v>15</v>
      </c>
      <c r="AL33" t="s">
        <v>73</v>
      </c>
      <c r="AM33">
        <v>14</v>
      </c>
      <c r="AN33" t="s">
        <v>73</v>
      </c>
      <c r="AO33">
        <v>15</v>
      </c>
      <c r="AP33" t="s">
        <v>73</v>
      </c>
      <c r="AQ33" t="s">
        <v>73</v>
      </c>
      <c r="AR33" t="s">
        <v>73</v>
      </c>
      <c r="AS33" t="s">
        <v>73</v>
      </c>
      <c r="AT33">
        <v>35</v>
      </c>
      <c r="AU33">
        <v>34</v>
      </c>
      <c r="AV33">
        <v>31</v>
      </c>
      <c r="AW33">
        <v>32</v>
      </c>
      <c r="AX33" t="s">
        <v>73</v>
      </c>
      <c r="AY33" t="s">
        <v>73</v>
      </c>
      <c r="AZ33" t="s">
        <v>73</v>
      </c>
      <c r="BA33" t="s">
        <v>73</v>
      </c>
      <c r="BB33">
        <v>16</v>
      </c>
      <c r="BC33" t="s">
        <v>73</v>
      </c>
      <c r="BD33">
        <v>16</v>
      </c>
    </row>
    <row r="34" spans="1:56" x14ac:dyDescent="0.25">
      <c r="A34">
        <v>53</v>
      </c>
      <c r="B34">
        <v>64</v>
      </c>
      <c r="C34">
        <v>157</v>
      </c>
      <c r="D34">
        <v>158</v>
      </c>
      <c r="E34">
        <v>156</v>
      </c>
      <c r="F34">
        <v>143</v>
      </c>
      <c r="G34">
        <v>147</v>
      </c>
      <c r="H34">
        <v>141</v>
      </c>
      <c r="I34" t="s">
        <v>73</v>
      </c>
      <c r="J34" t="s">
        <v>73</v>
      </c>
      <c r="K34">
        <v>16</v>
      </c>
      <c r="L34" t="s">
        <v>73</v>
      </c>
      <c r="M34">
        <v>15</v>
      </c>
      <c r="N34" t="s">
        <v>73</v>
      </c>
      <c r="O34" t="s">
        <v>73</v>
      </c>
      <c r="P34">
        <v>18</v>
      </c>
      <c r="Q34" t="s">
        <v>73</v>
      </c>
      <c r="R34">
        <v>18</v>
      </c>
      <c r="S34">
        <v>18</v>
      </c>
      <c r="T34">
        <v>18</v>
      </c>
      <c r="U34" t="s">
        <v>73</v>
      </c>
      <c r="V34" t="s">
        <v>73</v>
      </c>
      <c r="W34" t="s">
        <v>73</v>
      </c>
      <c r="X34" t="s">
        <v>73</v>
      </c>
      <c r="Y34" t="s">
        <v>73</v>
      </c>
      <c r="Z34">
        <v>18</v>
      </c>
      <c r="AA34">
        <v>22</v>
      </c>
      <c r="AB34" t="s">
        <v>73</v>
      </c>
      <c r="AC34" t="s">
        <v>73</v>
      </c>
      <c r="AD34" t="s">
        <v>73</v>
      </c>
      <c r="AE34" t="s">
        <v>73</v>
      </c>
      <c r="AF34" t="s">
        <v>73</v>
      </c>
      <c r="AG34" t="s">
        <v>73</v>
      </c>
      <c r="AH34">
        <v>18</v>
      </c>
      <c r="AI34" t="s">
        <v>73</v>
      </c>
      <c r="AJ34">
        <v>15</v>
      </c>
      <c r="AK34" t="s">
        <v>73</v>
      </c>
      <c r="AL34" t="s">
        <v>73</v>
      </c>
      <c r="AM34" t="s">
        <v>73</v>
      </c>
      <c r="AN34">
        <v>13</v>
      </c>
      <c r="AO34" t="s">
        <v>73</v>
      </c>
      <c r="AP34" t="s">
        <v>73</v>
      </c>
      <c r="AQ34" t="s">
        <v>73</v>
      </c>
      <c r="AR34">
        <v>13</v>
      </c>
      <c r="AS34">
        <v>35</v>
      </c>
      <c r="AT34">
        <v>36</v>
      </c>
      <c r="AU34" t="s">
        <v>73</v>
      </c>
      <c r="AV34" t="s">
        <v>73</v>
      </c>
      <c r="AW34" t="s">
        <v>73</v>
      </c>
      <c r="AX34">
        <v>31</v>
      </c>
      <c r="AY34" t="s">
        <v>73</v>
      </c>
      <c r="AZ34" t="s">
        <v>73</v>
      </c>
      <c r="BA34" t="s">
        <v>73</v>
      </c>
      <c r="BB34" t="s">
        <v>73</v>
      </c>
      <c r="BC34" t="s">
        <v>73</v>
      </c>
      <c r="BD34" t="s">
        <v>73</v>
      </c>
    </row>
    <row r="35" spans="1:56" x14ac:dyDescent="0.25">
      <c r="A35">
        <v>54</v>
      </c>
      <c r="B35">
        <v>67</v>
      </c>
      <c r="C35">
        <v>159</v>
      </c>
      <c r="D35">
        <v>161</v>
      </c>
      <c r="E35">
        <v>158</v>
      </c>
      <c r="F35">
        <v>144</v>
      </c>
      <c r="G35">
        <v>148</v>
      </c>
      <c r="H35">
        <v>143</v>
      </c>
      <c r="I35" t="s">
        <v>73</v>
      </c>
      <c r="J35" t="s">
        <v>73</v>
      </c>
      <c r="K35" t="s">
        <v>73</v>
      </c>
      <c r="L35" t="s">
        <v>73</v>
      </c>
      <c r="M35" t="s">
        <v>73</v>
      </c>
      <c r="N35">
        <v>14</v>
      </c>
      <c r="O35" t="s">
        <v>73</v>
      </c>
      <c r="P35" t="s">
        <v>73</v>
      </c>
      <c r="Q35">
        <v>19</v>
      </c>
      <c r="R35" t="s">
        <v>73</v>
      </c>
      <c r="S35" t="s">
        <v>73</v>
      </c>
      <c r="T35" t="s">
        <v>73</v>
      </c>
      <c r="U35">
        <v>20</v>
      </c>
      <c r="V35" t="s">
        <v>73</v>
      </c>
      <c r="W35">
        <v>20</v>
      </c>
      <c r="X35" t="s">
        <v>73</v>
      </c>
      <c r="Y35" t="s">
        <v>73</v>
      </c>
      <c r="Z35" t="s">
        <v>73</v>
      </c>
      <c r="AA35" t="s">
        <v>73</v>
      </c>
      <c r="AB35">
        <v>22</v>
      </c>
      <c r="AC35" t="s">
        <v>73</v>
      </c>
      <c r="AD35" t="s">
        <v>73</v>
      </c>
      <c r="AE35">
        <v>20</v>
      </c>
      <c r="AF35" t="s">
        <v>73</v>
      </c>
      <c r="AG35">
        <v>18</v>
      </c>
      <c r="AH35" t="s">
        <v>73</v>
      </c>
      <c r="AI35" t="s">
        <v>73</v>
      </c>
      <c r="AJ35" t="s">
        <v>73</v>
      </c>
      <c r="AK35" t="s">
        <v>73</v>
      </c>
      <c r="AL35">
        <v>15</v>
      </c>
      <c r="AM35">
        <v>15</v>
      </c>
      <c r="AN35" t="s">
        <v>73</v>
      </c>
      <c r="AO35" t="s">
        <v>73</v>
      </c>
      <c r="AP35">
        <v>13</v>
      </c>
      <c r="AQ35">
        <v>12</v>
      </c>
      <c r="AR35" t="s">
        <v>73</v>
      </c>
      <c r="AS35" t="s">
        <v>73</v>
      </c>
      <c r="AT35" t="s">
        <v>73</v>
      </c>
      <c r="AU35">
        <v>35</v>
      </c>
      <c r="AV35">
        <v>32</v>
      </c>
      <c r="AW35">
        <v>33</v>
      </c>
      <c r="AX35" t="s">
        <v>73</v>
      </c>
      <c r="AY35" t="s">
        <v>73</v>
      </c>
      <c r="AZ35">
        <v>19</v>
      </c>
      <c r="BA35" t="s">
        <v>73</v>
      </c>
      <c r="BB35" t="s">
        <v>73</v>
      </c>
      <c r="BC35">
        <v>17</v>
      </c>
      <c r="BD35" t="s">
        <v>73</v>
      </c>
    </row>
    <row r="36" spans="1:56" x14ac:dyDescent="0.25">
      <c r="A36">
        <v>55</v>
      </c>
      <c r="B36">
        <v>71</v>
      </c>
      <c r="C36">
        <v>161</v>
      </c>
      <c r="D36">
        <v>163</v>
      </c>
      <c r="E36">
        <v>160</v>
      </c>
      <c r="F36">
        <v>147</v>
      </c>
      <c r="G36">
        <v>150</v>
      </c>
      <c r="H36">
        <v>146</v>
      </c>
      <c r="I36" t="s">
        <v>73</v>
      </c>
      <c r="J36">
        <v>17</v>
      </c>
      <c r="K36" t="s">
        <v>73</v>
      </c>
      <c r="L36">
        <v>15</v>
      </c>
      <c r="M36" t="s">
        <v>73</v>
      </c>
      <c r="N36" t="s">
        <v>73</v>
      </c>
      <c r="O36">
        <v>19</v>
      </c>
      <c r="P36" t="s">
        <v>73</v>
      </c>
      <c r="Q36" t="s">
        <v>73</v>
      </c>
      <c r="R36" t="s">
        <v>73</v>
      </c>
      <c r="S36" t="s">
        <v>73</v>
      </c>
      <c r="T36" t="s">
        <v>73</v>
      </c>
      <c r="U36" t="s">
        <v>73</v>
      </c>
      <c r="V36">
        <v>20</v>
      </c>
      <c r="W36" t="s">
        <v>73</v>
      </c>
      <c r="X36" t="s">
        <v>73</v>
      </c>
      <c r="Y36" t="s">
        <v>73</v>
      </c>
      <c r="Z36" t="s">
        <v>73</v>
      </c>
      <c r="AA36" t="s">
        <v>73</v>
      </c>
      <c r="AB36" t="s">
        <v>73</v>
      </c>
      <c r="AC36">
        <v>23</v>
      </c>
      <c r="AD36">
        <v>20</v>
      </c>
      <c r="AE36" t="s">
        <v>73</v>
      </c>
      <c r="AF36">
        <v>20</v>
      </c>
      <c r="AG36" t="s">
        <v>73</v>
      </c>
      <c r="AH36">
        <v>19</v>
      </c>
      <c r="AI36">
        <v>18</v>
      </c>
      <c r="AJ36" t="s">
        <v>73</v>
      </c>
      <c r="AK36">
        <v>16</v>
      </c>
      <c r="AL36" t="s">
        <v>73</v>
      </c>
      <c r="AM36" t="s">
        <v>73</v>
      </c>
      <c r="AN36">
        <v>14</v>
      </c>
      <c r="AO36">
        <v>16</v>
      </c>
      <c r="AP36" t="s">
        <v>73</v>
      </c>
      <c r="AQ36" t="s">
        <v>73</v>
      </c>
      <c r="AR36" t="s">
        <v>73</v>
      </c>
      <c r="AS36">
        <v>36</v>
      </c>
      <c r="AT36">
        <v>37</v>
      </c>
      <c r="AU36" t="s">
        <v>73</v>
      </c>
      <c r="AV36" t="s">
        <v>73</v>
      </c>
      <c r="AW36">
        <v>34</v>
      </c>
      <c r="AX36">
        <v>32</v>
      </c>
      <c r="AY36">
        <v>19</v>
      </c>
      <c r="AZ36" t="s">
        <v>73</v>
      </c>
      <c r="BA36" t="s">
        <v>73</v>
      </c>
      <c r="BB36">
        <v>17</v>
      </c>
      <c r="BC36" t="s">
        <v>73</v>
      </c>
      <c r="BD36">
        <v>17</v>
      </c>
    </row>
    <row r="37" spans="1:56" x14ac:dyDescent="0.25">
      <c r="A37">
        <v>56</v>
      </c>
      <c r="B37">
        <v>74</v>
      </c>
      <c r="C37">
        <v>163</v>
      </c>
      <c r="D37">
        <v>164</v>
      </c>
      <c r="E37">
        <v>164</v>
      </c>
      <c r="F37">
        <v>149</v>
      </c>
      <c r="G37">
        <v>152</v>
      </c>
      <c r="H37">
        <v>147</v>
      </c>
      <c r="I37">
        <v>17</v>
      </c>
      <c r="J37" t="s">
        <v>73</v>
      </c>
      <c r="K37" t="s">
        <v>73</v>
      </c>
      <c r="L37" t="s">
        <v>73</v>
      </c>
      <c r="M37" t="s">
        <v>73</v>
      </c>
      <c r="N37">
        <v>15</v>
      </c>
      <c r="O37" t="s">
        <v>73</v>
      </c>
      <c r="P37">
        <v>19</v>
      </c>
      <c r="Q37" t="s">
        <v>73</v>
      </c>
      <c r="R37">
        <v>19</v>
      </c>
      <c r="S37">
        <v>19</v>
      </c>
      <c r="T37">
        <v>19</v>
      </c>
      <c r="U37" t="s">
        <v>73</v>
      </c>
      <c r="V37" t="s">
        <v>73</v>
      </c>
      <c r="W37" t="s">
        <v>73</v>
      </c>
      <c r="X37">
        <v>19</v>
      </c>
      <c r="Y37">
        <v>19</v>
      </c>
      <c r="Z37">
        <v>19</v>
      </c>
      <c r="AA37">
        <v>23</v>
      </c>
      <c r="AB37" t="s">
        <v>73</v>
      </c>
      <c r="AC37" t="s">
        <v>73</v>
      </c>
      <c r="AD37" t="s">
        <v>73</v>
      </c>
      <c r="AE37" t="s">
        <v>73</v>
      </c>
      <c r="AF37" t="s">
        <v>73</v>
      </c>
      <c r="AG37" t="s">
        <v>73</v>
      </c>
      <c r="AH37" t="s">
        <v>73</v>
      </c>
      <c r="AI37" t="s">
        <v>73</v>
      </c>
      <c r="AJ37">
        <v>16</v>
      </c>
      <c r="AK37" t="s">
        <v>73</v>
      </c>
      <c r="AL37" t="s">
        <v>73</v>
      </c>
      <c r="AM37" t="s">
        <v>73</v>
      </c>
      <c r="AN37" t="s">
        <v>73</v>
      </c>
      <c r="AO37" t="s">
        <v>73</v>
      </c>
      <c r="AP37" t="s">
        <v>73</v>
      </c>
      <c r="AQ37" t="s">
        <v>73</v>
      </c>
      <c r="AR37">
        <v>14</v>
      </c>
      <c r="AS37" t="s">
        <v>73</v>
      </c>
      <c r="AT37" t="s">
        <v>73</v>
      </c>
      <c r="AU37">
        <v>36</v>
      </c>
      <c r="AV37">
        <v>33</v>
      </c>
      <c r="AW37" t="s">
        <v>73</v>
      </c>
      <c r="AX37" t="s">
        <v>73</v>
      </c>
      <c r="AY37" t="s">
        <v>73</v>
      </c>
      <c r="AZ37" t="s">
        <v>73</v>
      </c>
      <c r="BA37">
        <v>19</v>
      </c>
      <c r="BB37" t="s">
        <v>73</v>
      </c>
      <c r="BC37" t="s">
        <v>73</v>
      </c>
      <c r="BD37" t="s">
        <v>73</v>
      </c>
    </row>
    <row r="38" spans="1:56" x14ac:dyDescent="0.25">
      <c r="A38">
        <v>57</v>
      </c>
      <c r="B38">
        <v>77</v>
      </c>
      <c r="C38">
        <v>165</v>
      </c>
      <c r="D38" t="s">
        <v>73</v>
      </c>
      <c r="E38">
        <v>165</v>
      </c>
      <c r="F38">
        <v>151</v>
      </c>
      <c r="G38">
        <v>154</v>
      </c>
      <c r="H38">
        <v>149</v>
      </c>
      <c r="I38" t="s">
        <v>73</v>
      </c>
      <c r="J38">
        <v>18</v>
      </c>
      <c r="K38">
        <v>17</v>
      </c>
      <c r="L38" t="s">
        <v>73</v>
      </c>
      <c r="M38" t="s">
        <v>73</v>
      </c>
      <c r="N38" t="s">
        <v>73</v>
      </c>
      <c r="O38">
        <v>20</v>
      </c>
      <c r="P38" t="s">
        <v>73</v>
      </c>
      <c r="Q38">
        <v>20</v>
      </c>
      <c r="R38" t="s">
        <v>73</v>
      </c>
      <c r="S38" t="s">
        <v>73</v>
      </c>
      <c r="T38" t="s">
        <v>73</v>
      </c>
      <c r="U38">
        <v>21</v>
      </c>
      <c r="V38" t="s">
        <v>73</v>
      </c>
      <c r="W38">
        <v>21</v>
      </c>
      <c r="X38" t="s">
        <v>73</v>
      </c>
      <c r="Y38" t="s">
        <v>73</v>
      </c>
      <c r="Z38" t="s">
        <v>73</v>
      </c>
      <c r="AA38" t="s">
        <v>73</v>
      </c>
      <c r="AB38">
        <v>23</v>
      </c>
      <c r="AC38" t="s">
        <v>73</v>
      </c>
      <c r="AD38" t="s">
        <v>73</v>
      </c>
      <c r="AE38" t="s">
        <v>73</v>
      </c>
      <c r="AF38" t="s">
        <v>73</v>
      </c>
      <c r="AG38">
        <v>19</v>
      </c>
      <c r="AH38" t="s">
        <v>73</v>
      </c>
      <c r="AI38" t="s">
        <v>73</v>
      </c>
      <c r="AJ38" t="s">
        <v>73</v>
      </c>
      <c r="AK38">
        <v>17</v>
      </c>
      <c r="AL38">
        <v>16</v>
      </c>
      <c r="AM38">
        <v>16</v>
      </c>
      <c r="AN38" t="s">
        <v>73</v>
      </c>
      <c r="AO38" t="s">
        <v>73</v>
      </c>
      <c r="AP38" t="s">
        <v>73</v>
      </c>
      <c r="AQ38">
        <v>13</v>
      </c>
      <c r="AR38" t="s">
        <v>73</v>
      </c>
      <c r="AS38">
        <v>37</v>
      </c>
      <c r="AT38" t="s">
        <v>73</v>
      </c>
      <c r="AU38" t="s">
        <v>73</v>
      </c>
      <c r="AV38">
        <v>34</v>
      </c>
      <c r="AW38">
        <v>35</v>
      </c>
      <c r="AX38">
        <v>33</v>
      </c>
      <c r="AY38" t="s">
        <v>73</v>
      </c>
      <c r="AZ38" t="s">
        <v>73</v>
      </c>
      <c r="BA38" t="s">
        <v>73</v>
      </c>
      <c r="BB38" t="s">
        <v>73</v>
      </c>
      <c r="BC38">
        <v>18</v>
      </c>
      <c r="BD38" t="s">
        <v>73</v>
      </c>
    </row>
    <row r="39" spans="1:56" x14ac:dyDescent="0.25">
      <c r="A39">
        <v>58</v>
      </c>
      <c r="B39">
        <v>80</v>
      </c>
      <c r="C39">
        <v>166</v>
      </c>
      <c r="D39">
        <v>165</v>
      </c>
      <c r="E39">
        <v>168</v>
      </c>
      <c r="F39">
        <v>153</v>
      </c>
      <c r="G39">
        <v>155</v>
      </c>
      <c r="H39">
        <v>151</v>
      </c>
      <c r="I39" t="s">
        <v>73</v>
      </c>
      <c r="J39" t="s">
        <v>73</v>
      </c>
      <c r="K39" t="s">
        <v>73</v>
      </c>
      <c r="L39" t="s">
        <v>73</v>
      </c>
      <c r="M39">
        <v>16</v>
      </c>
      <c r="N39" t="s">
        <v>73</v>
      </c>
      <c r="O39" t="s">
        <v>73</v>
      </c>
      <c r="P39" t="s">
        <v>73</v>
      </c>
      <c r="Q39" t="s">
        <v>73</v>
      </c>
      <c r="R39" t="s">
        <v>73</v>
      </c>
      <c r="S39" t="s">
        <v>73</v>
      </c>
      <c r="T39" t="s">
        <v>73</v>
      </c>
      <c r="U39" t="s">
        <v>73</v>
      </c>
      <c r="V39" t="s">
        <v>73</v>
      </c>
      <c r="W39" t="s">
        <v>73</v>
      </c>
      <c r="X39" t="s">
        <v>73</v>
      </c>
      <c r="Y39" t="s">
        <v>73</v>
      </c>
      <c r="Z39" t="s">
        <v>73</v>
      </c>
      <c r="AA39" t="s">
        <v>73</v>
      </c>
      <c r="AB39" t="s">
        <v>73</v>
      </c>
      <c r="AC39" t="s">
        <v>73</v>
      </c>
      <c r="AD39" t="s">
        <v>73</v>
      </c>
      <c r="AE39" t="s">
        <v>73</v>
      </c>
      <c r="AF39" t="s">
        <v>73</v>
      </c>
      <c r="AG39" t="s">
        <v>73</v>
      </c>
      <c r="AH39">
        <v>20</v>
      </c>
      <c r="AI39">
        <v>19</v>
      </c>
      <c r="AJ39">
        <v>17</v>
      </c>
      <c r="AK39" t="s">
        <v>73</v>
      </c>
      <c r="AL39" t="s">
        <v>73</v>
      </c>
      <c r="AM39" t="s">
        <v>73</v>
      </c>
      <c r="AN39">
        <v>15</v>
      </c>
      <c r="AO39" t="s">
        <v>73</v>
      </c>
      <c r="AP39">
        <v>14</v>
      </c>
      <c r="AQ39" t="s">
        <v>73</v>
      </c>
      <c r="AR39" t="s">
        <v>73</v>
      </c>
      <c r="AS39" t="s">
        <v>73</v>
      </c>
      <c r="AT39">
        <v>38</v>
      </c>
      <c r="AU39">
        <v>37</v>
      </c>
      <c r="AV39" t="s">
        <v>73</v>
      </c>
      <c r="AW39" t="s">
        <v>73</v>
      </c>
      <c r="AX39" t="s">
        <v>73</v>
      </c>
      <c r="AY39" t="s">
        <v>73</v>
      </c>
      <c r="AZ39" t="s">
        <v>73</v>
      </c>
      <c r="BA39" t="s">
        <v>73</v>
      </c>
      <c r="BB39">
        <v>18</v>
      </c>
      <c r="BC39" t="s">
        <v>73</v>
      </c>
      <c r="BD39">
        <v>18</v>
      </c>
    </row>
    <row r="40" spans="1:56" x14ac:dyDescent="0.25">
      <c r="A40">
        <v>59</v>
      </c>
      <c r="B40">
        <v>83</v>
      </c>
      <c r="C40">
        <v>169</v>
      </c>
      <c r="D40">
        <v>168</v>
      </c>
      <c r="E40">
        <v>170</v>
      </c>
      <c r="F40">
        <v>155</v>
      </c>
      <c r="G40">
        <v>156</v>
      </c>
      <c r="H40">
        <v>154</v>
      </c>
      <c r="I40">
        <v>18</v>
      </c>
      <c r="J40">
        <v>19</v>
      </c>
      <c r="K40" t="s">
        <v>73</v>
      </c>
      <c r="L40">
        <v>16</v>
      </c>
      <c r="M40" t="s">
        <v>73</v>
      </c>
      <c r="N40" t="s">
        <v>73</v>
      </c>
      <c r="O40" t="s">
        <v>73</v>
      </c>
      <c r="P40">
        <v>20</v>
      </c>
      <c r="Q40">
        <v>21</v>
      </c>
      <c r="R40" t="s">
        <v>73</v>
      </c>
      <c r="S40" t="s">
        <v>73</v>
      </c>
      <c r="T40" t="s">
        <v>73</v>
      </c>
      <c r="U40" t="s">
        <v>73</v>
      </c>
      <c r="V40">
        <v>21</v>
      </c>
      <c r="W40">
        <v>22</v>
      </c>
      <c r="X40" t="s">
        <v>73</v>
      </c>
      <c r="Y40" t="s">
        <v>73</v>
      </c>
      <c r="Z40" t="s">
        <v>73</v>
      </c>
      <c r="AA40">
        <v>24</v>
      </c>
      <c r="AB40" t="s">
        <v>73</v>
      </c>
      <c r="AC40">
        <v>24</v>
      </c>
      <c r="AD40">
        <v>21</v>
      </c>
      <c r="AE40">
        <v>21</v>
      </c>
      <c r="AF40">
        <v>21</v>
      </c>
      <c r="AG40">
        <v>20</v>
      </c>
      <c r="AH40" t="s">
        <v>73</v>
      </c>
      <c r="AI40" t="s">
        <v>73</v>
      </c>
      <c r="AJ40" t="s">
        <v>73</v>
      </c>
      <c r="AK40">
        <v>18</v>
      </c>
      <c r="AL40">
        <v>17</v>
      </c>
      <c r="AM40" t="s">
        <v>73</v>
      </c>
      <c r="AN40" t="s">
        <v>73</v>
      </c>
      <c r="AO40">
        <v>17</v>
      </c>
      <c r="AP40" t="s">
        <v>73</v>
      </c>
      <c r="AQ40" t="s">
        <v>73</v>
      </c>
      <c r="AR40" t="s">
        <v>73</v>
      </c>
      <c r="AS40">
        <v>38</v>
      </c>
      <c r="AT40">
        <v>39</v>
      </c>
      <c r="AU40" t="s">
        <v>73</v>
      </c>
      <c r="AV40">
        <v>35</v>
      </c>
      <c r="AW40">
        <v>36</v>
      </c>
      <c r="AX40">
        <v>34</v>
      </c>
      <c r="AY40" t="s">
        <v>73</v>
      </c>
      <c r="AZ40" t="s">
        <v>73</v>
      </c>
      <c r="BA40" t="s">
        <v>73</v>
      </c>
      <c r="BB40" t="s">
        <v>73</v>
      </c>
      <c r="BC40" t="s">
        <v>73</v>
      </c>
      <c r="BD40" t="s">
        <v>73</v>
      </c>
    </row>
    <row r="41" spans="1:56" x14ac:dyDescent="0.25">
      <c r="A41">
        <v>60</v>
      </c>
      <c r="B41">
        <v>85</v>
      </c>
      <c r="C41">
        <v>171</v>
      </c>
      <c r="D41">
        <v>170</v>
      </c>
      <c r="E41">
        <v>171</v>
      </c>
      <c r="F41">
        <v>157</v>
      </c>
      <c r="G41">
        <v>157</v>
      </c>
      <c r="H41">
        <v>156</v>
      </c>
      <c r="I41" t="s">
        <v>73</v>
      </c>
      <c r="J41" t="s">
        <v>73</v>
      </c>
      <c r="K41">
        <v>18</v>
      </c>
      <c r="L41" t="s">
        <v>73</v>
      </c>
      <c r="M41" t="s">
        <v>73</v>
      </c>
      <c r="N41">
        <v>16</v>
      </c>
      <c r="O41" t="s">
        <v>73</v>
      </c>
      <c r="P41" t="s">
        <v>73</v>
      </c>
      <c r="Q41" t="s">
        <v>73</v>
      </c>
      <c r="R41">
        <v>20</v>
      </c>
      <c r="S41" t="s">
        <v>73</v>
      </c>
      <c r="T41">
        <v>20</v>
      </c>
      <c r="U41">
        <v>22</v>
      </c>
      <c r="V41" t="s">
        <v>73</v>
      </c>
      <c r="W41" t="s">
        <v>73</v>
      </c>
      <c r="X41">
        <v>20</v>
      </c>
      <c r="Y41">
        <v>20</v>
      </c>
      <c r="Z41">
        <v>20</v>
      </c>
      <c r="AA41" t="s">
        <v>73</v>
      </c>
      <c r="AB41">
        <v>24</v>
      </c>
      <c r="AC41" t="s">
        <v>73</v>
      </c>
      <c r="AD41" t="s">
        <v>73</v>
      </c>
      <c r="AE41" t="s">
        <v>73</v>
      </c>
      <c r="AF41" t="s">
        <v>73</v>
      </c>
      <c r="AG41" t="s">
        <v>73</v>
      </c>
      <c r="AH41" t="s">
        <v>73</v>
      </c>
      <c r="AI41">
        <v>20</v>
      </c>
      <c r="AJ41">
        <v>18</v>
      </c>
      <c r="AK41" t="s">
        <v>73</v>
      </c>
      <c r="AL41" t="s">
        <v>73</v>
      </c>
      <c r="AM41" t="s">
        <v>73</v>
      </c>
      <c r="AN41" t="s">
        <v>73</v>
      </c>
      <c r="AO41" t="s">
        <v>73</v>
      </c>
      <c r="AP41" t="s">
        <v>73</v>
      </c>
      <c r="AQ41">
        <v>14</v>
      </c>
      <c r="AR41">
        <v>15</v>
      </c>
      <c r="AS41">
        <v>39</v>
      </c>
      <c r="AT41" t="s">
        <v>73</v>
      </c>
      <c r="AU41">
        <v>38</v>
      </c>
      <c r="AV41" t="s">
        <v>73</v>
      </c>
      <c r="AW41" t="s">
        <v>73</v>
      </c>
      <c r="AX41">
        <v>35</v>
      </c>
      <c r="AY41" t="s">
        <v>73</v>
      </c>
      <c r="AZ41" t="s">
        <v>73</v>
      </c>
      <c r="BA41" t="s">
        <v>73</v>
      </c>
      <c r="BB41" t="s">
        <v>73</v>
      </c>
      <c r="BC41">
        <v>19</v>
      </c>
      <c r="BD41" t="s">
        <v>73</v>
      </c>
    </row>
    <row r="42" spans="1:56" x14ac:dyDescent="0.25">
      <c r="A42">
        <v>61</v>
      </c>
      <c r="B42">
        <v>87</v>
      </c>
      <c r="C42">
        <v>173</v>
      </c>
      <c r="D42">
        <v>172</v>
      </c>
      <c r="E42">
        <v>173</v>
      </c>
      <c r="F42">
        <v>158</v>
      </c>
      <c r="G42">
        <v>159</v>
      </c>
      <c r="H42">
        <v>158</v>
      </c>
      <c r="I42">
        <v>19</v>
      </c>
      <c r="J42" t="s">
        <v>73</v>
      </c>
      <c r="K42" t="s">
        <v>73</v>
      </c>
      <c r="L42" t="s">
        <v>73</v>
      </c>
      <c r="M42" t="s">
        <v>73</v>
      </c>
      <c r="N42" t="s">
        <v>73</v>
      </c>
      <c r="O42">
        <v>21</v>
      </c>
      <c r="P42" t="s">
        <v>73</v>
      </c>
      <c r="Q42">
        <v>22</v>
      </c>
      <c r="R42" t="s">
        <v>73</v>
      </c>
      <c r="S42">
        <v>20</v>
      </c>
      <c r="T42" t="s">
        <v>73</v>
      </c>
      <c r="U42" t="s">
        <v>73</v>
      </c>
      <c r="V42" t="s">
        <v>73</v>
      </c>
      <c r="W42" t="s">
        <v>73</v>
      </c>
      <c r="X42" t="s">
        <v>73</v>
      </c>
      <c r="Y42" t="s">
        <v>73</v>
      </c>
      <c r="Z42" t="s">
        <v>73</v>
      </c>
      <c r="AA42" t="s">
        <v>73</v>
      </c>
      <c r="AB42" t="s">
        <v>73</v>
      </c>
      <c r="AC42" t="s">
        <v>73</v>
      </c>
      <c r="AD42">
        <v>22</v>
      </c>
      <c r="AE42" t="s">
        <v>73</v>
      </c>
      <c r="AF42">
        <v>22</v>
      </c>
      <c r="AG42" t="s">
        <v>73</v>
      </c>
      <c r="AH42">
        <v>21</v>
      </c>
      <c r="AI42" t="s">
        <v>73</v>
      </c>
      <c r="AJ42" t="s">
        <v>73</v>
      </c>
      <c r="AK42">
        <v>19</v>
      </c>
      <c r="AL42">
        <v>18</v>
      </c>
      <c r="AM42">
        <v>17</v>
      </c>
      <c r="AN42">
        <v>16</v>
      </c>
      <c r="AO42" t="s">
        <v>73</v>
      </c>
      <c r="AP42">
        <v>15</v>
      </c>
      <c r="AQ42" t="s">
        <v>73</v>
      </c>
      <c r="AR42" t="s">
        <v>73</v>
      </c>
      <c r="AS42" t="s">
        <v>73</v>
      </c>
      <c r="AT42" t="s">
        <v>73</v>
      </c>
      <c r="AU42">
        <v>39</v>
      </c>
      <c r="AV42">
        <v>36</v>
      </c>
      <c r="AW42">
        <v>37</v>
      </c>
      <c r="AX42" t="s">
        <v>73</v>
      </c>
      <c r="AY42" t="s">
        <v>73</v>
      </c>
      <c r="AZ42" t="s">
        <v>73</v>
      </c>
      <c r="BA42" t="s">
        <v>73</v>
      </c>
      <c r="BB42">
        <v>19</v>
      </c>
      <c r="BC42" t="s">
        <v>73</v>
      </c>
      <c r="BD42" t="s">
        <v>73</v>
      </c>
    </row>
    <row r="43" spans="1:56" x14ac:dyDescent="0.25">
      <c r="A43">
        <v>62</v>
      </c>
      <c r="B43">
        <v>89</v>
      </c>
      <c r="C43">
        <v>175</v>
      </c>
      <c r="D43">
        <v>174</v>
      </c>
      <c r="E43">
        <v>176</v>
      </c>
      <c r="F43">
        <v>161</v>
      </c>
      <c r="G43">
        <v>161</v>
      </c>
      <c r="H43">
        <v>161</v>
      </c>
      <c r="I43" t="s">
        <v>73</v>
      </c>
      <c r="J43" t="s">
        <v>73</v>
      </c>
      <c r="K43">
        <v>19</v>
      </c>
      <c r="L43" t="s">
        <v>73</v>
      </c>
      <c r="M43">
        <v>17</v>
      </c>
      <c r="N43" t="s">
        <v>73</v>
      </c>
      <c r="O43" t="s">
        <v>73</v>
      </c>
      <c r="P43" t="s">
        <v>73</v>
      </c>
      <c r="Q43" t="s">
        <v>73</v>
      </c>
      <c r="R43" t="s">
        <v>73</v>
      </c>
      <c r="S43" t="s">
        <v>73</v>
      </c>
      <c r="T43" t="s">
        <v>73</v>
      </c>
      <c r="U43" t="s">
        <v>73</v>
      </c>
      <c r="V43" t="s">
        <v>73</v>
      </c>
      <c r="W43" t="s">
        <v>73</v>
      </c>
      <c r="X43" t="s">
        <v>73</v>
      </c>
      <c r="Y43" t="s">
        <v>73</v>
      </c>
      <c r="Z43" t="s">
        <v>73</v>
      </c>
      <c r="AA43" t="s">
        <v>73</v>
      </c>
      <c r="AB43" t="s">
        <v>73</v>
      </c>
      <c r="AC43" t="s">
        <v>73</v>
      </c>
      <c r="AD43" t="s">
        <v>73</v>
      </c>
      <c r="AE43">
        <v>22</v>
      </c>
      <c r="AF43" t="s">
        <v>73</v>
      </c>
      <c r="AG43">
        <v>21</v>
      </c>
      <c r="AH43" t="s">
        <v>73</v>
      </c>
      <c r="AI43">
        <v>21</v>
      </c>
      <c r="AJ43" t="s">
        <v>73</v>
      </c>
      <c r="AK43" t="s">
        <v>73</v>
      </c>
      <c r="AL43" t="s">
        <v>73</v>
      </c>
      <c r="AM43" t="s">
        <v>73</v>
      </c>
      <c r="AN43" t="s">
        <v>73</v>
      </c>
      <c r="AO43">
        <v>18</v>
      </c>
      <c r="AP43" t="s">
        <v>73</v>
      </c>
      <c r="AQ43" t="s">
        <v>73</v>
      </c>
      <c r="AR43" t="s">
        <v>73</v>
      </c>
      <c r="AS43">
        <v>40</v>
      </c>
      <c r="AT43">
        <v>40</v>
      </c>
      <c r="AU43" t="s">
        <v>73</v>
      </c>
      <c r="AV43" t="s">
        <v>73</v>
      </c>
      <c r="AW43" t="s">
        <v>73</v>
      </c>
      <c r="AX43">
        <v>36</v>
      </c>
      <c r="AY43" t="s">
        <v>73</v>
      </c>
      <c r="AZ43">
        <v>20</v>
      </c>
      <c r="BA43" t="s">
        <v>73</v>
      </c>
      <c r="BB43" t="s">
        <v>73</v>
      </c>
      <c r="BC43" t="s">
        <v>73</v>
      </c>
      <c r="BD43" t="s">
        <v>73</v>
      </c>
    </row>
    <row r="44" spans="1:56" x14ac:dyDescent="0.25">
      <c r="A44">
        <v>63</v>
      </c>
      <c r="B44">
        <v>91</v>
      </c>
      <c r="C44">
        <v>178</v>
      </c>
      <c r="D44">
        <v>177</v>
      </c>
      <c r="E44">
        <v>178</v>
      </c>
      <c r="F44">
        <v>162</v>
      </c>
      <c r="G44">
        <v>162</v>
      </c>
      <c r="H44">
        <v>163</v>
      </c>
      <c r="I44" t="s">
        <v>73</v>
      </c>
      <c r="J44" t="s">
        <v>73</v>
      </c>
      <c r="K44" t="s">
        <v>73</v>
      </c>
      <c r="L44" t="s">
        <v>73</v>
      </c>
      <c r="M44" t="s">
        <v>73</v>
      </c>
      <c r="N44" t="s">
        <v>73</v>
      </c>
      <c r="O44">
        <v>22</v>
      </c>
      <c r="P44">
        <v>21</v>
      </c>
      <c r="Q44" t="s">
        <v>73</v>
      </c>
      <c r="R44" t="s">
        <v>73</v>
      </c>
      <c r="S44" t="s">
        <v>73</v>
      </c>
      <c r="T44" t="s">
        <v>73</v>
      </c>
      <c r="U44" t="s">
        <v>73</v>
      </c>
      <c r="V44">
        <v>22</v>
      </c>
      <c r="W44">
        <v>23</v>
      </c>
      <c r="X44" t="s">
        <v>73</v>
      </c>
      <c r="Y44">
        <v>21</v>
      </c>
      <c r="Z44" t="s">
        <v>73</v>
      </c>
      <c r="AA44" t="s">
        <v>73</v>
      </c>
      <c r="AB44" t="s">
        <v>73</v>
      </c>
      <c r="AC44" t="s">
        <v>73</v>
      </c>
      <c r="AD44" t="s">
        <v>73</v>
      </c>
      <c r="AE44" t="s">
        <v>73</v>
      </c>
      <c r="AF44">
        <v>23</v>
      </c>
      <c r="AG44" t="s">
        <v>73</v>
      </c>
      <c r="AH44">
        <v>22</v>
      </c>
      <c r="AI44" t="s">
        <v>73</v>
      </c>
      <c r="AJ44">
        <v>19</v>
      </c>
      <c r="AK44" t="s">
        <v>73</v>
      </c>
      <c r="AL44" t="s">
        <v>73</v>
      </c>
      <c r="AM44">
        <v>18</v>
      </c>
      <c r="AN44" t="s">
        <v>73</v>
      </c>
      <c r="AO44" t="s">
        <v>73</v>
      </c>
      <c r="AP44" t="s">
        <v>73</v>
      </c>
      <c r="AQ44">
        <v>15</v>
      </c>
      <c r="AR44" t="s">
        <v>73</v>
      </c>
      <c r="AS44" t="s">
        <v>73</v>
      </c>
      <c r="AT44" t="s">
        <v>73</v>
      </c>
      <c r="AU44">
        <v>40</v>
      </c>
      <c r="AV44">
        <v>37</v>
      </c>
      <c r="AW44" t="s">
        <v>73</v>
      </c>
      <c r="AX44">
        <v>37</v>
      </c>
      <c r="AY44">
        <v>20</v>
      </c>
      <c r="AZ44" t="s">
        <v>73</v>
      </c>
      <c r="BA44">
        <v>20</v>
      </c>
      <c r="BB44" t="s">
        <v>73</v>
      </c>
      <c r="BC44" t="s">
        <v>73</v>
      </c>
      <c r="BD44">
        <v>19</v>
      </c>
    </row>
    <row r="45" spans="1:56" x14ac:dyDescent="0.25">
      <c r="A45">
        <v>64</v>
      </c>
      <c r="B45">
        <v>93</v>
      </c>
      <c r="C45">
        <v>179</v>
      </c>
      <c r="D45">
        <v>178</v>
      </c>
      <c r="E45">
        <v>180</v>
      </c>
      <c r="F45">
        <v>163</v>
      </c>
      <c r="G45">
        <v>163</v>
      </c>
      <c r="H45">
        <v>165</v>
      </c>
      <c r="I45" t="s">
        <v>73</v>
      </c>
      <c r="J45" t="s">
        <v>73</v>
      </c>
      <c r="K45" t="s">
        <v>73</v>
      </c>
      <c r="L45">
        <v>17</v>
      </c>
      <c r="M45" t="s">
        <v>73</v>
      </c>
      <c r="N45" t="s">
        <v>73</v>
      </c>
      <c r="O45" t="s">
        <v>73</v>
      </c>
      <c r="P45" t="s">
        <v>73</v>
      </c>
      <c r="Q45">
        <v>23</v>
      </c>
      <c r="R45">
        <v>21</v>
      </c>
      <c r="S45" t="s">
        <v>73</v>
      </c>
      <c r="T45">
        <v>21</v>
      </c>
      <c r="U45">
        <v>23</v>
      </c>
      <c r="V45" t="s">
        <v>73</v>
      </c>
      <c r="W45" t="s">
        <v>73</v>
      </c>
      <c r="X45">
        <v>21</v>
      </c>
      <c r="Y45" t="s">
        <v>73</v>
      </c>
      <c r="Z45">
        <v>21</v>
      </c>
      <c r="AA45" t="s">
        <v>73</v>
      </c>
      <c r="AB45" t="s">
        <v>73</v>
      </c>
      <c r="AC45" t="s">
        <v>73</v>
      </c>
      <c r="AD45">
        <v>23</v>
      </c>
      <c r="AE45">
        <v>23</v>
      </c>
      <c r="AF45" t="s">
        <v>73</v>
      </c>
      <c r="AG45" t="s">
        <v>73</v>
      </c>
      <c r="AH45" t="s">
        <v>73</v>
      </c>
      <c r="AI45" t="s">
        <v>73</v>
      </c>
      <c r="AJ45" t="s">
        <v>73</v>
      </c>
      <c r="AK45" t="s">
        <v>73</v>
      </c>
      <c r="AL45" t="s">
        <v>73</v>
      </c>
      <c r="AM45" t="s">
        <v>73</v>
      </c>
      <c r="AN45">
        <v>17</v>
      </c>
      <c r="AO45" t="s">
        <v>73</v>
      </c>
      <c r="AP45" t="s">
        <v>73</v>
      </c>
      <c r="AQ45" t="s">
        <v>73</v>
      </c>
      <c r="AR45" t="s">
        <v>73</v>
      </c>
      <c r="AS45" t="s">
        <v>73</v>
      </c>
      <c r="AT45" t="s">
        <v>73</v>
      </c>
      <c r="AU45" t="s">
        <v>73</v>
      </c>
      <c r="AV45" t="s">
        <v>73</v>
      </c>
      <c r="AW45">
        <v>38</v>
      </c>
      <c r="AX45" t="s">
        <v>73</v>
      </c>
      <c r="AY45" t="s">
        <v>73</v>
      </c>
      <c r="AZ45" t="s">
        <v>73</v>
      </c>
      <c r="BA45" t="s">
        <v>73</v>
      </c>
      <c r="BB45" t="s">
        <v>73</v>
      </c>
      <c r="BC45" t="s">
        <v>73</v>
      </c>
      <c r="BD45" t="s">
        <v>73</v>
      </c>
    </row>
    <row r="46" spans="1:56" x14ac:dyDescent="0.25">
      <c r="A46">
        <v>65</v>
      </c>
      <c r="B46">
        <v>94</v>
      </c>
      <c r="C46">
        <v>181</v>
      </c>
      <c r="D46">
        <v>180</v>
      </c>
      <c r="E46">
        <v>181</v>
      </c>
      <c r="F46">
        <v>169</v>
      </c>
      <c r="G46">
        <v>169</v>
      </c>
      <c r="H46">
        <v>169</v>
      </c>
      <c r="I46" t="s">
        <v>73</v>
      </c>
      <c r="J46">
        <v>20</v>
      </c>
      <c r="K46" t="s">
        <v>73</v>
      </c>
      <c r="L46" t="s">
        <v>73</v>
      </c>
      <c r="M46">
        <v>18</v>
      </c>
      <c r="N46">
        <v>17</v>
      </c>
      <c r="O46">
        <v>23</v>
      </c>
      <c r="P46" t="s">
        <v>73</v>
      </c>
      <c r="Q46" t="s">
        <v>73</v>
      </c>
      <c r="R46" t="s">
        <v>73</v>
      </c>
      <c r="S46">
        <v>21</v>
      </c>
      <c r="T46" t="s">
        <v>73</v>
      </c>
      <c r="U46" t="s">
        <v>73</v>
      </c>
      <c r="V46" t="s">
        <v>73</v>
      </c>
      <c r="W46" t="s">
        <v>73</v>
      </c>
      <c r="X46" t="s">
        <v>73</v>
      </c>
      <c r="Y46">
        <v>22</v>
      </c>
      <c r="Z46" t="s">
        <v>73</v>
      </c>
      <c r="AA46">
        <v>25</v>
      </c>
      <c r="AB46" t="s">
        <v>73</v>
      </c>
      <c r="AC46">
        <v>25</v>
      </c>
      <c r="AD46" t="s">
        <v>73</v>
      </c>
      <c r="AE46" t="s">
        <v>73</v>
      </c>
      <c r="AF46" t="s">
        <v>73</v>
      </c>
      <c r="AG46">
        <v>22</v>
      </c>
      <c r="AH46" t="s">
        <v>73</v>
      </c>
      <c r="AI46">
        <v>22</v>
      </c>
      <c r="AJ46" t="s">
        <v>73</v>
      </c>
      <c r="AK46">
        <v>20</v>
      </c>
      <c r="AL46">
        <v>19</v>
      </c>
      <c r="AM46" t="s">
        <v>73</v>
      </c>
      <c r="AN46" t="s">
        <v>73</v>
      </c>
      <c r="AO46">
        <v>19</v>
      </c>
      <c r="AP46" t="s">
        <v>73</v>
      </c>
      <c r="AQ46" t="s">
        <v>73</v>
      </c>
      <c r="AR46" t="s">
        <v>73</v>
      </c>
      <c r="AS46" t="s">
        <v>73</v>
      </c>
      <c r="AT46">
        <v>41</v>
      </c>
      <c r="AU46" t="s">
        <v>73</v>
      </c>
      <c r="AV46" t="s">
        <v>73</v>
      </c>
      <c r="AW46" t="s">
        <v>73</v>
      </c>
      <c r="AX46" t="s">
        <v>73</v>
      </c>
      <c r="AY46" t="s">
        <v>73</v>
      </c>
      <c r="AZ46" t="s">
        <v>73</v>
      </c>
      <c r="BA46" t="s">
        <v>73</v>
      </c>
      <c r="BB46" t="s">
        <v>73</v>
      </c>
      <c r="BC46" t="s">
        <v>73</v>
      </c>
      <c r="BD46" t="s">
        <v>73</v>
      </c>
    </row>
    <row r="47" spans="1:56" x14ac:dyDescent="0.25">
      <c r="A47">
        <v>66</v>
      </c>
      <c r="B47">
        <v>95</v>
      </c>
      <c r="C47">
        <v>182</v>
      </c>
      <c r="D47">
        <v>181</v>
      </c>
      <c r="E47">
        <v>184</v>
      </c>
      <c r="F47">
        <v>171</v>
      </c>
      <c r="G47">
        <v>171</v>
      </c>
      <c r="H47">
        <v>171</v>
      </c>
      <c r="I47">
        <v>20</v>
      </c>
      <c r="J47" t="s">
        <v>73</v>
      </c>
      <c r="K47" t="s">
        <v>73</v>
      </c>
      <c r="L47" t="s">
        <v>73</v>
      </c>
      <c r="M47" t="s">
        <v>73</v>
      </c>
      <c r="N47" t="s">
        <v>73</v>
      </c>
      <c r="O47" t="s">
        <v>73</v>
      </c>
      <c r="P47" t="s">
        <v>73</v>
      </c>
      <c r="Q47" t="s">
        <v>73</v>
      </c>
      <c r="R47">
        <v>22</v>
      </c>
      <c r="S47" t="s">
        <v>73</v>
      </c>
      <c r="T47">
        <v>22</v>
      </c>
      <c r="U47" t="s">
        <v>73</v>
      </c>
      <c r="V47">
        <v>23</v>
      </c>
      <c r="W47" t="s">
        <v>73</v>
      </c>
      <c r="X47">
        <v>22</v>
      </c>
      <c r="Y47" t="s">
        <v>73</v>
      </c>
      <c r="Z47">
        <v>22</v>
      </c>
      <c r="AA47" t="s">
        <v>73</v>
      </c>
      <c r="AB47">
        <v>25</v>
      </c>
      <c r="AC47" t="s">
        <v>73</v>
      </c>
      <c r="AD47">
        <v>24</v>
      </c>
      <c r="AE47">
        <v>24</v>
      </c>
      <c r="AF47">
        <v>24</v>
      </c>
      <c r="AG47" t="s">
        <v>73</v>
      </c>
      <c r="AH47">
        <v>23</v>
      </c>
      <c r="AI47" t="s">
        <v>73</v>
      </c>
      <c r="AJ47" t="s">
        <v>73</v>
      </c>
      <c r="AK47" t="s">
        <v>73</v>
      </c>
      <c r="AL47" t="s">
        <v>73</v>
      </c>
      <c r="AM47">
        <v>19</v>
      </c>
      <c r="AN47">
        <v>18</v>
      </c>
      <c r="AO47" t="s">
        <v>73</v>
      </c>
      <c r="AP47">
        <v>16</v>
      </c>
      <c r="AQ47" t="s">
        <v>73</v>
      </c>
      <c r="AR47">
        <v>16</v>
      </c>
      <c r="AS47">
        <v>41</v>
      </c>
      <c r="AT47" t="s">
        <v>73</v>
      </c>
      <c r="AU47" t="s">
        <v>73</v>
      </c>
      <c r="AV47">
        <v>38</v>
      </c>
      <c r="AW47">
        <v>39</v>
      </c>
      <c r="AX47" t="s">
        <v>73</v>
      </c>
      <c r="AY47" t="s">
        <v>73</v>
      </c>
      <c r="AZ47" t="s">
        <v>73</v>
      </c>
      <c r="BA47" t="s">
        <v>73</v>
      </c>
      <c r="BB47" t="s">
        <v>73</v>
      </c>
      <c r="BC47">
        <v>20</v>
      </c>
      <c r="BD47" t="s">
        <v>73</v>
      </c>
    </row>
    <row r="48" spans="1:56" x14ac:dyDescent="0.25">
      <c r="A48">
        <v>67</v>
      </c>
      <c r="B48">
        <v>96</v>
      </c>
      <c r="C48">
        <v>183</v>
      </c>
      <c r="D48">
        <v>182</v>
      </c>
      <c r="E48">
        <v>188</v>
      </c>
      <c r="F48">
        <v>172</v>
      </c>
      <c r="G48" t="s">
        <v>73</v>
      </c>
      <c r="H48">
        <v>172</v>
      </c>
      <c r="I48" t="s">
        <v>73</v>
      </c>
      <c r="J48" t="s">
        <v>73</v>
      </c>
      <c r="K48">
        <v>20</v>
      </c>
      <c r="L48" t="s">
        <v>73</v>
      </c>
      <c r="M48" t="s">
        <v>73</v>
      </c>
      <c r="N48" t="s">
        <v>73</v>
      </c>
      <c r="O48" t="s">
        <v>73</v>
      </c>
      <c r="P48" t="s">
        <v>73</v>
      </c>
      <c r="Q48" t="s">
        <v>73</v>
      </c>
      <c r="R48" t="s">
        <v>73</v>
      </c>
      <c r="S48">
        <v>22</v>
      </c>
      <c r="T48" t="s">
        <v>73</v>
      </c>
      <c r="U48" t="s">
        <v>73</v>
      </c>
      <c r="V48" t="s">
        <v>73</v>
      </c>
      <c r="W48">
        <v>24</v>
      </c>
      <c r="X48" t="s">
        <v>73</v>
      </c>
      <c r="Y48" t="s">
        <v>73</v>
      </c>
      <c r="Z48" t="s">
        <v>73</v>
      </c>
      <c r="AA48" t="s">
        <v>73</v>
      </c>
      <c r="AB48" t="s">
        <v>73</v>
      </c>
      <c r="AC48" t="s">
        <v>73</v>
      </c>
      <c r="AD48" t="s">
        <v>73</v>
      </c>
      <c r="AE48" t="s">
        <v>73</v>
      </c>
      <c r="AF48" t="s">
        <v>73</v>
      </c>
      <c r="AG48">
        <v>23</v>
      </c>
      <c r="AH48" t="s">
        <v>73</v>
      </c>
      <c r="AI48" t="s">
        <v>73</v>
      </c>
      <c r="AJ48">
        <v>20</v>
      </c>
      <c r="AK48" t="s">
        <v>73</v>
      </c>
      <c r="AL48" t="s">
        <v>73</v>
      </c>
      <c r="AM48" t="s">
        <v>73</v>
      </c>
      <c r="AN48" t="s">
        <v>73</v>
      </c>
      <c r="AO48" t="s">
        <v>73</v>
      </c>
      <c r="AP48" t="s">
        <v>73</v>
      </c>
      <c r="AQ48">
        <v>16</v>
      </c>
      <c r="AR48" t="s">
        <v>73</v>
      </c>
      <c r="AS48" t="s">
        <v>73</v>
      </c>
      <c r="AT48" t="s">
        <v>73</v>
      </c>
      <c r="AU48">
        <v>41</v>
      </c>
      <c r="AV48" t="s">
        <v>73</v>
      </c>
      <c r="AW48" t="s">
        <v>73</v>
      </c>
      <c r="AX48">
        <v>38</v>
      </c>
      <c r="AY48" t="s">
        <v>73</v>
      </c>
      <c r="AZ48" t="s">
        <v>73</v>
      </c>
      <c r="BA48" t="s">
        <v>73</v>
      </c>
      <c r="BB48">
        <v>20</v>
      </c>
      <c r="BC48" t="s">
        <v>73</v>
      </c>
      <c r="BD48" t="s">
        <v>73</v>
      </c>
    </row>
    <row r="49" spans="1:56" x14ac:dyDescent="0.25">
      <c r="A49">
        <v>68</v>
      </c>
      <c r="B49">
        <v>97</v>
      </c>
      <c r="C49">
        <v>186</v>
      </c>
      <c r="D49" t="s">
        <v>73</v>
      </c>
      <c r="E49">
        <v>189</v>
      </c>
      <c r="F49">
        <v>175</v>
      </c>
      <c r="G49">
        <v>177</v>
      </c>
      <c r="H49">
        <v>174</v>
      </c>
      <c r="I49" t="s">
        <v>73</v>
      </c>
      <c r="J49" t="s">
        <v>73</v>
      </c>
      <c r="K49" t="s">
        <v>73</v>
      </c>
      <c r="L49">
        <v>18</v>
      </c>
      <c r="M49" t="s">
        <v>73</v>
      </c>
      <c r="N49" t="s">
        <v>73</v>
      </c>
      <c r="O49" t="s">
        <v>73</v>
      </c>
      <c r="P49">
        <v>23</v>
      </c>
      <c r="Q49">
        <v>24</v>
      </c>
      <c r="R49">
        <v>23</v>
      </c>
      <c r="S49" t="s">
        <v>73</v>
      </c>
      <c r="T49">
        <v>23</v>
      </c>
      <c r="U49">
        <v>24</v>
      </c>
      <c r="V49" t="s">
        <v>73</v>
      </c>
      <c r="W49" t="s">
        <v>73</v>
      </c>
      <c r="X49">
        <v>23</v>
      </c>
      <c r="Y49">
        <v>23</v>
      </c>
      <c r="Z49">
        <v>23</v>
      </c>
      <c r="AA49" t="s">
        <v>73</v>
      </c>
      <c r="AB49" t="s">
        <v>73</v>
      </c>
      <c r="AC49" t="s">
        <v>73</v>
      </c>
      <c r="AD49" t="s">
        <v>73</v>
      </c>
      <c r="AE49" t="s">
        <v>73</v>
      </c>
      <c r="AF49" t="s">
        <v>73</v>
      </c>
      <c r="AG49" t="s">
        <v>73</v>
      </c>
      <c r="AH49" t="s">
        <v>73</v>
      </c>
      <c r="AI49" t="s">
        <v>73</v>
      </c>
      <c r="AJ49" t="s">
        <v>73</v>
      </c>
      <c r="AK49" t="s">
        <v>73</v>
      </c>
      <c r="AL49" t="s">
        <v>73</v>
      </c>
      <c r="AM49" t="s">
        <v>73</v>
      </c>
      <c r="AN49" t="s">
        <v>73</v>
      </c>
      <c r="AO49" t="s">
        <v>73</v>
      </c>
      <c r="AP49" t="s">
        <v>73</v>
      </c>
      <c r="AQ49" t="s">
        <v>73</v>
      </c>
      <c r="AR49" t="s">
        <v>73</v>
      </c>
      <c r="AS49" t="s">
        <v>73</v>
      </c>
      <c r="AT49" t="s">
        <v>73</v>
      </c>
      <c r="AU49" t="s">
        <v>73</v>
      </c>
      <c r="AV49" t="s">
        <v>73</v>
      </c>
      <c r="AW49" t="s">
        <v>73</v>
      </c>
      <c r="AX49" t="s">
        <v>73</v>
      </c>
      <c r="AY49" t="s">
        <v>73</v>
      </c>
      <c r="AZ49" t="s">
        <v>73</v>
      </c>
      <c r="BA49" t="s">
        <v>73</v>
      </c>
      <c r="BB49" t="s">
        <v>73</v>
      </c>
      <c r="BC49" t="s">
        <v>73</v>
      </c>
      <c r="BD49" t="s">
        <v>73</v>
      </c>
    </row>
    <row r="50" spans="1:56" x14ac:dyDescent="0.25">
      <c r="A50">
        <v>69</v>
      </c>
      <c r="B50">
        <v>97</v>
      </c>
      <c r="C50">
        <v>189</v>
      </c>
      <c r="D50">
        <v>183</v>
      </c>
      <c r="E50">
        <v>191</v>
      </c>
      <c r="F50">
        <v>178</v>
      </c>
      <c r="G50" t="s">
        <v>73</v>
      </c>
      <c r="H50">
        <v>178</v>
      </c>
      <c r="I50" t="s">
        <v>73</v>
      </c>
      <c r="J50" t="s">
        <v>73</v>
      </c>
      <c r="K50" t="s">
        <v>73</v>
      </c>
      <c r="L50" t="s">
        <v>73</v>
      </c>
      <c r="M50">
        <v>19</v>
      </c>
      <c r="N50" t="s">
        <v>73</v>
      </c>
      <c r="O50">
        <v>24</v>
      </c>
      <c r="P50" t="s">
        <v>73</v>
      </c>
      <c r="Q50" t="s">
        <v>73</v>
      </c>
      <c r="R50">
        <v>24</v>
      </c>
      <c r="S50">
        <v>23</v>
      </c>
      <c r="T50">
        <v>24</v>
      </c>
      <c r="U50" t="s">
        <v>73</v>
      </c>
      <c r="V50">
        <v>24</v>
      </c>
      <c r="W50" t="s">
        <v>73</v>
      </c>
      <c r="X50" t="s">
        <v>73</v>
      </c>
      <c r="Y50" t="s">
        <v>73</v>
      </c>
      <c r="Z50" t="s">
        <v>73</v>
      </c>
      <c r="AA50" t="s">
        <v>73</v>
      </c>
      <c r="AB50" t="s">
        <v>73</v>
      </c>
      <c r="AC50" t="s">
        <v>73</v>
      </c>
      <c r="AD50" t="s">
        <v>73</v>
      </c>
      <c r="AE50" t="s">
        <v>73</v>
      </c>
      <c r="AF50" t="s">
        <v>73</v>
      </c>
      <c r="AG50" t="s">
        <v>73</v>
      </c>
      <c r="AH50">
        <v>24</v>
      </c>
      <c r="AI50">
        <v>23</v>
      </c>
      <c r="AJ50" t="s">
        <v>73</v>
      </c>
      <c r="AK50">
        <v>21</v>
      </c>
      <c r="AL50">
        <v>20</v>
      </c>
      <c r="AM50" t="s">
        <v>73</v>
      </c>
      <c r="AN50">
        <v>19</v>
      </c>
      <c r="AO50" t="s">
        <v>73</v>
      </c>
      <c r="AP50" t="s">
        <v>73</v>
      </c>
      <c r="AQ50" t="s">
        <v>73</v>
      </c>
      <c r="AR50" t="s">
        <v>73</v>
      </c>
      <c r="AS50" t="s">
        <v>73</v>
      </c>
      <c r="AT50">
        <v>42</v>
      </c>
      <c r="AU50" t="s">
        <v>73</v>
      </c>
      <c r="AV50">
        <v>39</v>
      </c>
      <c r="AW50">
        <v>40</v>
      </c>
      <c r="AX50" t="s">
        <v>73</v>
      </c>
      <c r="AY50" t="s">
        <v>73</v>
      </c>
      <c r="AZ50" t="s">
        <v>73</v>
      </c>
      <c r="BA50" t="s">
        <v>73</v>
      </c>
      <c r="BB50" t="s">
        <v>73</v>
      </c>
      <c r="BC50" t="s">
        <v>73</v>
      </c>
      <c r="BD50">
        <v>20</v>
      </c>
    </row>
    <row r="51" spans="1:56" x14ac:dyDescent="0.25">
      <c r="A51">
        <v>70</v>
      </c>
      <c r="B51">
        <v>98</v>
      </c>
      <c r="C51">
        <v>190</v>
      </c>
      <c r="D51">
        <v>186</v>
      </c>
      <c r="E51">
        <v>192</v>
      </c>
      <c r="F51">
        <v>179</v>
      </c>
      <c r="G51">
        <v>179</v>
      </c>
      <c r="H51" t="s">
        <v>73</v>
      </c>
      <c r="I51" t="s">
        <v>73</v>
      </c>
      <c r="J51" t="s">
        <v>73</v>
      </c>
      <c r="K51" t="s">
        <v>73</v>
      </c>
      <c r="L51" t="s">
        <v>73</v>
      </c>
      <c r="M51" t="s">
        <v>73</v>
      </c>
      <c r="N51">
        <v>18</v>
      </c>
      <c r="O51" t="s">
        <v>73</v>
      </c>
      <c r="P51" t="s">
        <v>73</v>
      </c>
      <c r="Q51" t="s">
        <v>73</v>
      </c>
      <c r="R51" t="s">
        <v>73</v>
      </c>
      <c r="S51" t="s">
        <v>73</v>
      </c>
      <c r="T51" t="s">
        <v>73</v>
      </c>
      <c r="U51" t="s">
        <v>73</v>
      </c>
      <c r="V51" t="s">
        <v>73</v>
      </c>
      <c r="W51" t="s">
        <v>73</v>
      </c>
      <c r="X51" t="s">
        <v>73</v>
      </c>
      <c r="Y51" t="s">
        <v>73</v>
      </c>
      <c r="Z51" t="s">
        <v>73</v>
      </c>
      <c r="AA51" t="s">
        <v>73</v>
      </c>
      <c r="AB51" t="s">
        <v>73</v>
      </c>
      <c r="AC51" t="s">
        <v>73</v>
      </c>
      <c r="AD51" t="s">
        <v>73</v>
      </c>
      <c r="AE51" t="s">
        <v>73</v>
      </c>
      <c r="AF51">
        <v>25</v>
      </c>
      <c r="AG51">
        <v>24</v>
      </c>
      <c r="AH51" t="s">
        <v>73</v>
      </c>
      <c r="AI51" t="s">
        <v>73</v>
      </c>
      <c r="AJ51" t="s">
        <v>73</v>
      </c>
      <c r="AK51" t="s">
        <v>73</v>
      </c>
      <c r="AL51" t="s">
        <v>73</v>
      </c>
      <c r="AM51" t="s">
        <v>73</v>
      </c>
      <c r="AN51" t="s">
        <v>73</v>
      </c>
      <c r="AO51">
        <v>20</v>
      </c>
      <c r="AP51" t="s">
        <v>73</v>
      </c>
      <c r="AQ51" t="s">
        <v>73</v>
      </c>
      <c r="AR51" t="s">
        <v>73</v>
      </c>
      <c r="AS51">
        <v>42</v>
      </c>
      <c r="AT51">
        <v>43</v>
      </c>
      <c r="AU51" t="s">
        <v>73</v>
      </c>
      <c r="AV51" t="s">
        <v>73</v>
      </c>
      <c r="AW51" t="s">
        <v>73</v>
      </c>
      <c r="AX51" t="s">
        <v>73</v>
      </c>
      <c r="AY51" t="s">
        <v>73</v>
      </c>
      <c r="AZ51" t="s">
        <v>73</v>
      </c>
      <c r="BA51" t="s">
        <v>73</v>
      </c>
      <c r="BB51" t="s">
        <v>73</v>
      </c>
      <c r="BC51" t="s">
        <v>73</v>
      </c>
      <c r="BD51" t="s">
        <v>73</v>
      </c>
    </row>
    <row r="52" spans="1:56" x14ac:dyDescent="0.25">
      <c r="A52">
        <v>71</v>
      </c>
      <c r="B52">
        <v>98</v>
      </c>
      <c r="C52">
        <v>192</v>
      </c>
      <c r="D52" t="s">
        <v>73</v>
      </c>
      <c r="E52" t="s">
        <v>73</v>
      </c>
      <c r="F52">
        <v>182</v>
      </c>
      <c r="G52" t="s">
        <v>73</v>
      </c>
      <c r="H52">
        <v>182</v>
      </c>
      <c r="I52" t="s">
        <v>73</v>
      </c>
      <c r="J52" t="s">
        <v>73</v>
      </c>
      <c r="K52" t="s">
        <v>73</v>
      </c>
      <c r="L52" t="s">
        <v>73</v>
      </c>
      <c r="M52" t="s">
        <v>73</v>
      </c>
      <c r="N52" t="s">
        <v>73</v>
      </c>
      <c r="O52" t="s">
        <v>73</v>
      </c>
      <c r="P52">
        <v>24</v>
      </c>
      <c r="Q52" t="s">
        <v>73</v>
      </c>
      <c r="R52" t="s">
        <v>73</v>
      </c>
      <c r="S52" t="s">
        <v>73</v>
      </c>
      <c r="T52" t="s">
        <v>73</v>
      </c>
      <c r="U52" t="s">
        <v>73</v>
      </c>
      <c r="V52" t="s">
        <v>73</v>
      </c>
      <c r="W52" t="s">
        <v>73</v>
      </c>
      <c r="X52">
        <v>24</v>
      </c>
      <c r="Y52" t="s">
        <v>73</v>
      </c>
      <c r="Z52">
        <v>24</v>
      </c>
      <c r="AA52" t="s">
        <v>73</v>
      </c>
      <c r="AB52" t="s">
        <v>73</v>
      </c>
      <c r="AC52" t="s">
        <v>73</v>
      </c>
      <c r="AD52">
        <v>25</v>
      </c>
      <c r="AE52">
        <v>25</v>
      </c>
      <c r="AF52" t="s">
        <v>73</v>
      </c>
      <c r="AG52" t="s">
        <v>73</v>
      </c>
      <c r="AH52" t="s">
        <v>73</v>
      </c>
      <c r="AI52" t="s">
        <v>73</v>
      </c>
      <c r="AJ52">
        <v>21</v>
      </c>
      <c r="AK52" t="s">
        <v>73</v>
      </c>
      <c r="AL52" t="s">
        <v>73</v>
      </c>
      <c r="AM52">
        <v>20</v>
      </c>
      <c r="AN52" t="s">
        <v>73</v>
      </c>
      <c r="AO52" t="s">
        <v>73</v>
      </c>
      <c r="AP52">
        <v>17</v>
      </c>
      <c r="AQ52">
        <v>17</v>
      </c>
      <c r="AR52" t="s">
        <v>73</v>
      </c>
      <c r="AS52" t="s">
        <v>73</v>
      </c>
      <c r="AT52" t="s">
        <v>73</v>
      </c>
      <c r="AU52">
        <v>42</v>
      </c>
      <c r="AV52">
        <v>40</v>
      </c>
      <c r="AW52" t="s">
        <v>73</v>
      </c>
      <c r="AX52" t="s">
        <v>73</v>
      </c>
      <c r="AY52" t="s">
        <v>73</v>
      </c>
      <c r="AZ52" t="s">
        <v>73</v>
      </c>
      <c r="BA52" t="s">
        <v>73</v>
      </c>
      <c r="BB52" t="s">
        <v>73</v>
      </c>
      <c r="BC52" t="s">
        <v>73</v>
      </c>
      <c r="BD52" t="s">
        <v>73</v>
      </c>
    </row>
    <row r="53" spans="1:56" x14ac:dyDescent="0.25">
      <c r="A53">
        <v>72</v>
      </c>
      <c r="B53">
        <v>99</v>
      </c>
      <c r="C53" t="s">
        <v>73</v>
      </c>
      <c r="D53">
        <v>188</v>
      </c>
      <c r="E53">
        <v>193</v>
      </c>
      <c r="F53">
        <v>183</v>
      </c>
      <c r="G53">
        <v>183</v>
      </c>
      <c r="H53">
        <v>185</v>
      </c>
      <c r="I53" t="s">
        <v>73</v>
      </c>
      <c r="J53" t="s">
        <v>73</v>
      </c>
      <c r="K53" t="s">
        <v>73</v>
      </c>
      <c r="L53">
        <v>19</v>
      </c>
      <c r="M53" t="s">
        <v>73</v>
      </c>
      <c r="N53" t="s">
        <v>73</v>
      </c>
      <c r="O53" t="s">
        <v>73</v>
      </c>
      <c r="P53" t="s">
        <v>73</v>
      </c>
      <c r="Q53" t="s">
        <v>73</v>
      </c>
      <c r="R53" t="s">
        <v>73</v>
      </c>
      <c r="S53">
        <v>25</v>
      </c>
      <c r="T53" t="s">
        <v>73</v>
      </c>
      <c r="U53" t="s">
        <v>73</v>
      </c>
      <c r="V53" t="s">
        <v>73</v>
      </c>
      <c r="W53" t="s">
        <v>73</v>
      </c>
      <c r="X53" t="s">
        <v>73</v>
      </c>
      <c r="Y53">
        <v>24</v>
      </c>
      <c r="Z53" t="s">
        <v>73</v>
      </c>
      <c r="AA53" t="s">
        <v>73</v>
      </c>
      <c r="AB53" t="s">
        <v>73</v>
      </c>
      <c r="AC53" t="s">
        <v>73</v>
      </c>
      <c r="AD53" t="s">
        <v>73</v>
      </c>
      <c r="AE53" t="s">
        <v>73</v>
      </c>
      <c r="AF53" t="s">
        <v>73</v>
      </c>
      <c r="AG53" t="s">
        <v>73</v>
      </c>
      <c r="AH53" t="s">
        <v>73</v>
      </c>
      <c r="AI53">
        <v>24</v>
      </c>
      <c r="AJ53" t="s">
        <v>73</v>
      </c>
      <c r="AK53">
        <v>22</v>
      </c>
      <c r="AL53">
        <v>21</v>
      </c>
      <c r="AM53" t="s">
        <v>73</v>
      </c>
      <c r="AN53" t="s">
        <v>73</v>
      </c>
      <c r="AO53" t="s">
        <v>73</v>
      </c>
      <c r="AP53" t="s">
        <v>73</v>
      </c>
      <c r="AQ53" t="s">
        <v>73</v>
      </c>
      <c r="AR53">
        <v>17</v>
      </c>
      <c r="AS53">
        <v>43</v>
      </c>
      <c r="AT53">
        <v>44</v>
      </c>
      <c r="AU53" t="s">
        <v>73</v>
      </c>
      <c r="AV53" t="s">
        <v>73</v>
      </c>
      <c r="AW53">
        <v>41</v>
      </c>
      <c r="AX53">
        <v>39</v>
      </c>
      <c r="AY53" t="s">
        <v>73</v>
      </c>
      <c r="AZ53" t="s">
        <v>73</v>
      </c>
      <c r="BA53" t="s">
        <v>73</v>
      </c>
      <c r="BB53" t="s">
        <v>73</v>
      </c>
      <c r="BC53" t="s">
        <v>73</v>
      </c>
      <c r="BD53" t="s">
        <v>73</v>
      </c>
    </row>
    <row r="54" spans="1:56" x14ac:dyDescent="0.25">
      <c r="A54">
        <v>73</v>
      </c>
      <c r="B54">
        <v>99</v>
      </c>
      <c r="C54">
        <v>193</v>
      </c>
      <c r="D54" t="s">
        <v>73</v>
      </c>
      <c r="E54" t="s">
        <v>73</v>
      </c>
      <c r="F54">
        <v>185</v>
      </c>
      <c r="G54" t="s">
        <v>73</v>
      </c>
      <c r="H54" t="s">
        <v>73</v>
      </c>
      <c r="I54" t="s">
        <v>73</v>
      </c>
      <c r="J54" t="s">
        <v>73</v>
      </c>
      <c r="K54" t="s">
        <v>73</v>
      </c>
      <c r="L54" t="s">
        <v>73</v>
      </c>
      <c r="M54" t="s">
        <v>73</v>
      </c>
      <c r="N54" t="s">
        <v>73</v>
      </c>
      <c r="O54" t="s">
        <v>73</v>
      </c>
      <c r="P54" t="s">
        <v>73</v>
      </c>
      <c r="Q54" t="s">
        <v>73</v>
      </c>
      <c r="R54">
        <v>25</v>
      </c>
      <c r="S54" t="s">
        <v>73</v>
      </c>
      <c r="T54">
        <v>25</v>
      </c>
      <c r="U54" t="s">
        <v>73</v>
      </c>
      <c r="V54" t="s">
        <v>73</v>
      </c>
      <c r="W54">
        <v>25</v>
      </c>
      <c r="X54" t="s">
        <v>73</v>
      </c>
      <c r="Y54" t="s">
        <v>73</v>
      </c>
      <c r="Z54" t="s">
        <v>73</v>
      </c>
      <c r="AA54" t="s">
        <v>73</v>
      </c>
      <c r="AB54" t="s">
        <v>73</v>
      </c>
      <c r="AC54" t="s">
        <v>73</v>
      </c>
      <c r="AD54" t="s">
        <v>73</v>
      </c>
      <c r="AE54" t="s">
        <v>73</v>
      </c>
      <c r="AF54" t="s">
        <v>73</v>
      </c>
      <c r="AG54" t="s">
        <v>73</v>
      </c>
      <c r="AH54" t="s">
        <v>73</v>
      </c>
      <c r="AI54" t="s">
        <v>73</v>
      </c>
      <c r="AJ54">
        <v>22</v>
      </c>
      <c r="AK54" t="s">
        <v>73</v>
      </c>
      <c r="AL54" t="s">
        <v>73</v>
      </c>
      <c r="AM54" t="s">
        <v>73</v>
      </c>
      <c r="AN54" t="s">
        <v>73</v>
      </c>
      <c r="AO54" t="s">
        <v>73</v>
      </c>
      <c r="AP54" t="s">
        <v>73</v>
      </c>
      <c r="AQ54" t="s">
        <v>73</v>
      </c>
      <c r="AR54" t="s">
        <v>73</v>
      </c>
      <c r="AS54" t="s">
        <v>73</v>
      </c>
      <c r="AT54" t="s">
        <v>73</v>
      </c>
      <c r="AU54">
        <v>43</v>
      </c>
      <c r="AV54">
        <v>41</v>
      </c>
      <c r="AW54" t="s">
        <v>73</v>
      </c>
      <c r="AX54" t="s">
        <v>73</v>
      </c>
      <c r="AY54" t="s">
        <v>73</v>
      </c>
      <c r="AZ54" t="s">
        <v>73</v>
      </c>
      <c r="BA54" t="s">
        <v>73</v>
      </c>
      <c r="BB54" t="s">
        <v>73</v>
      </c>
      <c r="BC54" t="s">
        <v>73</v>
      </c>
      <c r="BD54" t="s">
        <v>73</v>
      </c>
    </row>
    <row r="55" spans="1:56" x14ac:dyDescent="0.25">
      <c r="A55">
        <v>74</v>
      </c>
      <c r="B55">
        <v>99</v>
      </c>
      <c r="C55">
        <v>194</v>
      </c>
      <c r="D55" t="s">
        <v>73</v>
      </c>
      <c r="E55">
        <v>194</v>
      </c>
      <c r="F55">
        <v>186</v>
      </c>
      <c r="G55" t="s">
        <v>73</v>
      </c>
      <c r="H55">
        <v>186</v>
      </c>
      <c r="I55" t="s">
        <v>73</v>
      </c>
      <c r="J55" t="s">
        <v>73</v>
      </c>
      <c r="K55" t="s">
        <v>73</v>
      </c>
      <c r="L55" t="s">
        <v>73</v>
      </c>
      <c r="M55">
        <v>20</v>
      </c>
      <c r="N55">
        <v>19</v>
      </c>
      <c r="O55" t="s">
        <v>73</v>
      </c>
      <c r="P55" t="s">
        <v>73</v>
      </c>
      <c r="Q55">
        <v>25</v>
      </c>
      <c r="R55" t="s">
        <v>73</v>
      </c>
      <c r="S55" t="s">
        <v>73</v>
      </c>
      <c r="T55" t="s">
        <v>73</v>
      </c>
      <c r="U55">
        <v>25</v>
      </c>
      <c r="V55" t="s">
        <v>73</v>
      </c>
      <c r="W55" t="s">
        <v>73</v>
      </c>
      <c r="X55" t="s">
        <v>73</v>
      </c>
      <c r="Y55" t="s">
        <v>73</v>
      </c>
      <c r="Z55">
        <v>25</v>
      </c>
      <c r="AA55" t="s">
        <v>73</v>
      </c>
      <c r="AB55" t="s">
        <v>73</v>
      </c>
      <c r="AC55" t="s">
        <v>73</v>
      </c>
      <c r="AD55" t="s">
        <v>73</v>
      </c>
      <c r="AE55" t="s">
        <v>73</v>
      </c>
      <c r="AF55" t="s">
        <v>73</v>
      </c>
      <c r="AG55" t="s">
        <v>73</v>
      </c>
      <c r="AH55">
        <v>25</v>
      </c>
      <c r="AI55" t="s">
        <v>73</v>
      </c>
      <c r="AJ55" t="s">
        <v>73</v>
      </c>
      <c r="AK55" t="s">
        <v>73</v>
      </c>
      <c r="AL55">
        <v>22</v>
      </c>
      <c r="AM55" t="s">
        <v>73</v>
      </c>
      <c r="AN55" t="s">
        <v>73</v>
      </c>
      <c r="AO55" t="s">
        <v>73</v>
      </c>
      <c r="AP55" t="s">
        <v>73</v>
      </c>
      <c r="AQ55" t="s">
        <v>73</v>
      </c>
      <c r="AR55" t="s">
        <v>73</v>
      </c>
      <c r="AS55" t="s">
        <v>73</v>
      </c>
      <c r="AT55" t="s">
        <v>73</v>
      </c>
      <c r="AU55" t="s">
        <v>73</v>
      </c>
      <c r="AV55" t="s">
        <v>73</v>
      </c>
      <c r="AW55" t="s">
        <v>73</v>
      </c>
      <c r="AX55">
        <v>41</v>
      </c>
      <c r="AY55" t="s">
        <v>73</v>
      </c>
      <c r="AZ55" t="s">
        <v>73</v>
      </c>
      <c r="BA55" t="s">
        <v>73</v>
      </c>
      <c r="BB55" t="s">
        <v>73</v>
      </c>
      <c r="BC55" t="s">
        <v>73</v>
      </c>
      <c r="BD55" t="s">
        <v>73</v>
      </c>
    </row>
    <row r="56" spans="1:56" x14ac:dyDescent="0.25">
      <c r="A56">
        <v>75</v>
      </c>
      <c r="B56">
        <v>99</v>
      </c>
      <c r="C56" t="s">
        <v>73</v>
      </c>
      <c r="D56" t="s">
        <v>73</v>
      </c>
      <c r="E56" t="s">
        <v>73</v>
      </c>
      <c r="F56" t="s">
        <v>73</v>
      </c>
      <c r="G56" t="s">
        <v>73</v>
      </c>
      <c r="H56" t="s">
        <v>73</v>
      </c>
      <c r="I56" t="s">
        <v>73</v>
      </c>
      <c r="J56" t="s">
        <v>73</v>
      </c>
      <c r="K56" t="s">
        <v>73</v>
      </c>
      <c r="L56" t="s">
        <v>73</v>
      </c>
      <c r="M56" t="s">
        <v>73</v>
      </c>
      <c r="N56" t="s">
        <v>73</v>
      </c>
      <c r="O56">
        <v>25</v>
      </c>
      <c r="P56" t="s">
        <v>73</v>
      </c>
      <c r="Q56" t="s">
        <v>73</v>
      </c>
      <c r="R56" t="s">
        <v>73</v>
      </c>
      <c r="S56" t="s">
        <v>73</v>
      </c>
      <c r="T56" t="s">
        <v>73</v>
      </c>
      <c r="U56" t="s">
        <v>73</v>
      </c>
      <c r="V56" t="s">
        <v>73</v>
      </c>
      <c r="W56" t="s">
        <v>73</v>
      </c>
      <c r="X56">
        <v>25</v>
      </c>
      <c r="Y56" t="s">
        <v>73</v>
      </c>
      <c r="Z56" t="s">
        <v>73</v>
      </c>
      <c r="AA56" t="s">
        <v>73</v>
      </c>
      <c r="AB56" t="s">
        <v>73</v>
      </c>
      <c r="AC56" t="s">
        <v>73</v>
      </c>
      <c r="AD56" t="s">
        <v>73</v>
      </c>
      <c r="AE56" t="s">
        <v>73</v>
      </c>
      <c r="AF56" t="s">
        <v>73</v>
      </c>
      <c r="AG56">
        <v>25</v>
      </c>
      <c r="AH56" t="s">
        <v>73</v>
      </c>
      <c r="AI56" t="s">
        <v>73</v>
      </c>
      <c r="AJ56" t="s">
        <v>73</v>
      </c>
      <c r="AK56" t="s">
        <v>73</v>
      </c>
      <c r="AL56" t="s">
        <v>73</v>
      </c>
      <c r="AM56" t="s">
        <v>73</v>
      </c>
      <c r="AN56" t="s">
        <v>73</v>
      </c>
      <c r="AO56" t="s">
        <v>73</v>
      </c>
      <c r="AP56">
        <v>18</v>
      </c>
      <c r="AQ56" t="s">
        <v>73</v>
      </c>
      <c r="AR56" t="s">
        <v>73</v>
      </c>
      <c r="AS56">
        <v>44</v>
      </c>
      <c r="AT56" t="s">
        <v>73</v>
      </c>
      <c r="AU56" t="s">
        <v>73</v>
      </c>
      <c r="AV56" t="s">
        <v>73</v>
      </c>
      <c r="AW56" t="s">
        <v>73</v>
      </c>
      <c r="AX56" t="s">
        <v>73</v>
      </c>
      <c r="AY56" t="s">
        <v>73</v>
      </c>
      <c r="AZ56" t="s">
        <v>73</v>
      </c>
      <c r="BA56" t="s">
        <v>73</v>
      </c>
      <c r="BB56" t="s">
        <v>73</v>
      </c>
      <c r="BC56" t="s">
        <v>73</v>
      </c>
      <c r="BD56" t="s">
        <v>73</v>
      </c>
    </row>
    <row r="57" spans="1:56" x14ac:dyDescent="0.25">
      <c r="A57">
        <v>76</v>
      </c>
      <c r="B57">
        <v>100</v>
      </c>
      <c r="C57">
        <v>198</v>
      </c>
      <c r="D57">
        <v>198</v>
      </c>
      <c r="E57" t="s">
        <v>73</v>
      </c>
      <c r="F57">
        <v>187</v>
      </c>
      <c r="G57">
        <v>194</v>
      </c>
      <c r="H57" t="s">
        <v>73</v>
      </c>
      <c r="I57" t="s">
        <v>73</v>
      </c>
      <c r="J57" t="s">
        <v>73</v>
      </c>
      <c r="K57" t="s">
        <v>73</v>
      </c>
      <c r="L57">
        <v>20</v>
      </c>
      <c r="M57" t="s">
        <v>73</v>
      </c>
      <c r="N57" t="s">
        <v>73</v>
      </c>
      <c r="O57" t="s">
        <v>73</v>
      </c>
      <c r="P57">
        <v>25</v>
      </c>
      <c r="Q57" t="s">
        <v>73</v>
      </c>
      <c r="R57" t="s">
        <v>73</v>
      </c>
      <c r="S57" t="s">
        <v>73</v>
      </c>
      <c r="T57" t="s">
        <v>73</v>
      </c>
      <c r="U57" t="s">
        <v>73</v>
      </c>
      <c r="V57">
        <v>25</v>
      </c>
      <c r="W57" t="s">
        <v>73</v>
      </c>
      <c r="X57" t="s">
        <v>73</v>
      </c>
      <c r="Y57">
        <v>25</v>
      </c>
      <c r="Z57" t="s">
        <v>73</v>
      </c>
      <c r="AA57" t="s">
        <v>73</v>
      </c>
      <c r="AB57" t="s">
        <v>73</v>
      </c>
      <c r="AC57" t="s">
        <v>73</v>
      </c>
      <c r="AD57" t="s">
        <v>73</v>
      </c>
      <c r="AE57" t="s">
        <v>73</v>
      </c>
      <c r="AF57" t="s">
        <v>73</v>
      </c>
      <c r="AG57" t="s">
        <v>73</v>
      </c>
      <c r="AH57" t="s">
        <v>73</v>
      </c>
      <c r="AI57">
        <v>25</v>
      </c>
      <c r="AJ57" t="s">
        <v>73</v>
      </c>
      <c r="AK57">
        <v>23</v>
      </c>
      <c r="AL57" t="s">
        <v>73</v>
      </c>
      <c r="AM57" t="s">
        <v>73</v>
      </c>
      <c r="AN57">
        <v>20</v>
      </c>
      <c r="AO57" t="s">
        <v>73</v>
      </c>
      <c r="AP57" t="s">
        <v>73</v>
      </c>
      <c r="AQ57">
        <v>19</v>
      </c>
      <c r="AR57">
        <v>18</v>
      </c>
      <c r="AS57" t="s">
        <v>73</v>
      </c>
      <c r="AT57">
        <v>45</v>
      </c>
      <c r="AU57" t="s">
        <v>73</v>
      </c>
      <c r="AV57">
        <v>43</v>
      </c>
      <c r="AW57">
        <v>43</v>
      </c>
      <c r="AX57" t="s">
        <v>73</v>
      </c>
      <c r="AY57" t="s">
        <v>73</v>
      </c>
      <c r="AZ57" t="s">
        <v>73</v>
      </c>
      <c r="BA57" t="s">
        <v>73</v>
      </c>
      <c r="BB57" t="s">
        <v>73</v>
      </c>
      <c r="BC57" t="s">
        <v>73</v>
      </c>
      <c r="BD57" t="s">
        <v>73</v>
      </c>
    </row>
    <row r="58" spans="1:56" x14ac:dyDescent="0.25">
      <c r="A58">
        <v>77</v>
      </c>
      <c r="B58">
        <v>100</v>
      </c>
      <c r="C58" t="s">
        <v>73</v>
      </c>
      <c r="D58" t="s">
        <v>73</v>
      </c>
      <c r="E58" t="s">
        <v>73</v>
      </c>
      <c r="F58" t="s">
        <v>73</v>
      </c>
      <c r="G58" t="s">
        <v>73</v>
      </c>
      <c r="H58" t="s">
        <v>73</v>
      </c>
      <c r="I58" t="s">
        <v>73</v>
      </c>
      <c r="J58" t="s">
        <v>73</v>
      </c>
      <c r="K58" t="s">
        <v>73</v>
      </c>
      <c r="L58" t="s">
        <v>73</v>
      </c>
      <c r="M58" t="s">
        <v>73</v>
      </c>
      <c r="N58" t="s">
        <v>73</v>
      </c>
      <c r="O58" t="s">
        <v>73</v>
      </c>
      <c r="P58" t="s">
        <v>73</v>
      </c>
      <c r="Q58" t="s">
        <v>73</v>
      </c>
      <c r="R58" t="s">
        <v>73</v>
      </c>
      <c r="S58" t="s">
        <v>73</v>
      </c>
      <c r="T58" t="s">
        <v>73</v>
      </c>
      <c r="U58" t="s">
        <v>73</v>
      </c>
      <c r="V58" t="s">
        <v>73</v>
      </c>
      <c r="W58" t="s">
        <v>73</v>
      </c>
      <c r="X58" t="s">
        <v>73</v>
      </c>
      <c r="Y58" t="s">
        <v>73</v>
      </c>
      <c r="Z58" t="s">
        <v>73</v>
      </c>
      <c r="AA58" t="s">
        <v>73</v>
      </c>
      <c r="AB58" t="s">
        <v>73</v>
      </c>
      <c r="AC58" t="s">
        <v>73</v>
      </c>
      <c r="AD58" t="s">
        <v>73</v>
      </c>
      <c r="AE58" t="s">
        <v>73</v>
      </c>
      <c r="AF58" t="s">
        <v>73</v>
      </c>
      <c r="AG58" t="s">
        <v>73</v>
      </c>
      <c r="AH58" t="s">
        <v>73</v>
      </c>
      <c r="AI58" t="s">
        <v>73</v>
      </c>
      <c r="AJ58">
        <v>23</v>
      </c>
      <c r="AK58" t="s">
        <v>73</v>
      </c>
      <c r="AL58" t="s">
        <v>73</v>
      </c>
      <c r="AM58" t="s">
        <v>73</v>
      </c>
      <c r="AN58" t="s">
        <v>73</v>
      </c>
      <c r="AO58" t="s">
        <v>73</v>
      </c>
      <c r="AP58" t="s">
        <v>73</v>
      </c>
      <c r="AQ58" t="s">
        <v>73</v>
      </c>
      <c r="AR58" t="s">
        <v>73</v>
      </c>
      <c r="AS58" t="s">
        <v>73</v>
      </c>
      <c r="AT58" t="s">
        <v>73</v>
      </c>
      <c r="AU58" t="s">
        <v>73</v>
      </c>
      <c r="AV58" t="s">
        <v>73</v>
      </c>
      <c r="AW58" t="s">
        <v>73</v>
      </c>
      <c r="AX58" t="s">
        <v>73</v>
      </c>
      <c r="AY58" t="s">
        <v>73</v>
      </c>
      <c r="AZ58" t="s">
        <v>73</v>
      </c>
      <c r="BA58" t="s">
        <v>73</v>
      </c>
      <c r="BB58" t="s">
        <v>73</v>
      </c>
      <c r="BC58" t="s">
        <v>73</v>
      </c>
      <c r="BD58" t="s">
        <v>73</v>
      </c>
    </row>
    <row r="59" spans="1:56" x14ac:dyDescent="0.25">
      <c r="A59">
        <v>78</v>
      </c>
      <c r="B59">
        <v>100</v>
      </c>
      <c r="C59" t="s">
        <v>73</v>
      </c>
      <c r="D59" t="s">
        <v>73</v>
      </c>
      <c r="E59">
        <v>204</v>
      </c>
      <c r="F59" t="s">
        <v>73</v>
      </c>
      <c r="G59" t="s">
        <v>73</v>
      </c>
      <c r="H59">
        <v>187</v>
      </c>
      <c r="I59" t="s">
        <v>73</v>
      </c>
      <c r="J59" t="s">
        <v>73</v>
      </c>
      <c r="K59" t="s">
        <v>73</v>
      </c>
      <c r="L59" t="s">
        <v>73</v>
      </c>
      <c r="M59" t="s">
        <v>73</v>
      </c>
      <c r="N59">
        <v>20</v>
      </c>
      <c r="O59" t="s">
        <v>73</v>
      </c>
      <c r="P59" t="s">
        <v>73</v>
      </c>
      <c r="Q59" t="s">
        <v>73</v>
      </c>
      <c r="R59" t="s">
        <v>73</v>
      </c>
      <c r="S59" t="s">
        <v>73</v>
      </c>
      <c r="T59" t="s">
        <v>73</v>
      </c>
      <c r="U59" t="s">
        <v>73</v>
      </c>
      <c r="V59" t="s">
        <v>73</v>
      </c>
      <c r="W59" t="s">
        <v>73</v>
      </c>
      <c r="X59" t="s">
        <v>73</v>
      </c>
      <c r="Y59" t="s">
        <v>73</v>
      </c>
      <c r="Z59" t="s">
        <v>73</v>
      </c>
      <c r="AA59" t="s">
        <v>73</v>
      </c>
      <c r="AB59" t="s">
        <v>73</v>
      </c>
      <c r="AC59" t="s">
        <v>73</v>
      </c>
      <c r="AD59" t="s">
        <v>73</v>
      </c>
      <c r="AE59" t="s">
        <v>73</v>
      </c>
      <c r="AF59" t="s">
        <v>73</v>
      </c>
      <c r="AG59" t="s">
        <v>73</v>
      </c>
      <c r="AH59" t="s">
        <v>73</v>
      </c>
      <c r="AI59" t="s">
        <v>73</v>
      </c>
      <c r="AJ59" t="s">
        <v>73</v>
      </c>
      <c r="AK59" t="s">
        <v>73</v>
      </c>
      <c r="AL59">
        <v>23</v>
      </c>
      <c r="AM59" t="s">
        <v>73</v>
      </c>
      <c r="AN59" t="s">
        <v>73</v>
      </c>
      <c r="AO59" t="s">
        <v>73</v>
      </c>
      <c r="AP59" t="s">
        <v>73</v>
      </c>
      <c r="AQ59" t="s">
        <v>73</v>
      </c>
      <c r="AR59" t="s">
        <v>73</v>
      </c>
      <c r="AS59" t="s">
        <v>73</v>
      </c>
      <c r="AT59" t="s">
        <v>73</v>
      </c>
      <c r="AU59">
        <v>44</v>
      </c>
      <c r="AV59" t="s">
        <v>73</v>
      </c>
      <c r="AW59" t="s">
        <v>73</v>
      </c>
      <c r="AX59">
        <v>45</v>
      </c>
      <c r="AY59" t="s">
        <v>73</v>
      </c>
      <c r="AZ59" t="s">
        <v>73</v>
      </c>
      <c r="BA59" t="s">
        <v>73</v>
      </c>
      <c r="BB59" t="s">
        <v>73</v>
      </c>
      <c r="BC59" t="s">
        <v>73</v>
      </c>
      <c r="BD59" t="s">
        <v>73</v>
      </c>
    </row>
    <row r="60" spans="1:56" x14ac:dyDescent="0.25">
      <c r="A60">
        <v>79</v>
      </c>
      <c r="B60">
        <v>100</v>
      </c>
      <c r="C60">
        <v>204</v>
      </c>
      <c r="D60" t="s">
        <v>73</v>
      </c>
      <c r="E60" t="s">
        <v>73</v>
      </c>
      <c r="F60">
        <v>194</v>
      </c>
      <c r="G60" t="s">
        <v>73</v>
      </c>
      <c r="H60" t="s">
        <v>73</v>
      </c>
      <c r="I60" t="s">
        <v>73</v>
      </c>
      <c r="J60" t="s">
        <v>73</v>
      </c>
      <c r="K60" t="s">
        <v>73</v>
      </c>
      <c r="L60" t="s">
        <v>73</v>
      </c>
      <c r="M60" t="s">
        <v>73</v>
      </c>
      <c r="N60" t="s">
        <v>73</v>
      </c>
      <c r="O60" t="s">
        <v>73</v>
      </c>
      <c r="P60" t="s">
        <v>73</v>
      </c>
      <c r="Q60" t="s">
        <v>73</v>
      </c>
      <c r="R60" t="s">
        <v>73</v>
      </c>
      <c r="S60" t="s">
        <v>73</v>
      </c>
      <c r="T60" t="s">
        <v>73</v>
      </c>
      <c r="U60" t="s">
        <v>73</v>
      </c>
      <c r="V60" t="s">
        <v>73</v>
      </c>
      <c r="W60" t="s">
        <v>73</v>
      </c>
      <c r="X60" t="s">
        <v>73</v>
      </c>
      <c r="Y60" t="s">
        <v>73</v>
      </c>
      <c r="Z60" t="s">
        <v>73</v>
      </c>
      <c r="AA60" t="s">
        <v>73</v>
      </c>
      <c r="AB60" t="s">
        <v>73</v>
      </c>
      <c r="AC60" t="s">
        <v>73</v>
      </c>
      <c r="AD60" t="s">
        <v>73</v>
      </c>
      <c r="AE60" t="s">
        <v>73</v>
      </c>
      <c r="AF60" t="s">
        <v>73</v>
      </c>
      <c r="AG60" t="s">
        <v>73</v>
      </c>
      <c r="AH60" t="s">
        <v>73</v>
      </c>
      <c r="AI60" t="s">
        <v>73</v>
      </c>
      <c r="AJ60" t="s">
        <v>73</v>
      </c>
      <c r="AK60" t="s">
        <v>73</v>
      </c>
      <c r="AL60" t="s">
        <v>73</v>
      </c>
      <c r="AM60" t="s">
        <v>73</v>
      </c>
      <c r="AN60" t="s">
        <v>73</v>
      </c>
      <c r="AO60" t="s">
        <v>73</v>
      </c>
      <c r="AP60">
        <v>19</v>
      </c>
      <c r="AQ60" t="s">
        <v>73</v>
      </c>
      <c r="AR60" t="s">
        <v>73</v>
      </c>
      <c r="AS60">
        <v>45</v>
      </c>
      <c r="AT60" t="s">
        <v>73</v>
      </c>
      <c r="AU60" t="s">
        <v>73</v>
      </c>
      <c r="AV60">
        <v>45</v>
      </c>
      <c r="AW60" t="s">
        <v>73</v>
      </c>
      <c r="AX60" t="s">
        <v>73</v>
      </c>
      <c r="AY60" t="s">
        <v>73</v>
      </c>
      <c r="AZ60" t="s">
        <v>73</v>
      </c>
      <c r="BA60" t="s">
        <v>73</v>
      </c>
      <c r="BB60" t="s">
        <v>73</v>
      </c>
      <c r="BC60" t="s">
        <v>73</v>
      </c>
      <c r="BD60" t="s">
        <v>73</v>
      </c>
    </row>
  </sheetData>
  <pageMargins left="0.7" right="0.7" top="0.78740157499999996" bottom="0.78740157499999996"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I11" sqref="I11"/>
    </sheetView>
  </sheetViews>
  <sheetFormatPr baseColWidth="10" defaultRowHeight="15" x14ac:dyDescent="0.25"/>
  <cols>
    <col min="3" max="3" width="12.7109375" customWidth="1"/>
  </cols>
  <sheetData>
    <row r="1" spans="1:4" x14ac:dyDescent="0.25">
      <c r="A1" t="s">
        <v>3</v>
      </c>
      <c r="B1" t="s">
        <v>128</v>
      </c>
      <c r="C1" t="s">
        <v>129</v>
      </c>
      <c r="D1" t="s">
        <v>130</v>
      </c>
    </row>
    <row r="2" spans="1:4" x14ac:dyDescent="0.25">
      <c r="A2">
        <v>10</v>
      </c>
      <c r="B2">
        <v>100</v>
      </c>
      <c r="C2">
        <v>100</v>
      </c>
      <c r="D2">
        <v>100</v>
      </c>
    </row>
    <row r="3" spans="1:4" x14ac:dyDescent="0.25">
      <c r="A3">
        <v>9</v>
      </c>
      <c r="B3">
        <v>95</v>
      </c>
      <c r="C3">
        <v>94</v>
      </c>
      <c r="D3">
        <v>96</v>
      </c>
    </row>
    <row r="4" spans="1:4" x14ac:dyDescent="0.25">
      <c r="A4">
        <v>8</v>
      </c>
      <c r="B4">
        <v>80</v>
      </c>
      <c r="C4">
        <v>76</v>
      </c>
      <c r="D4">
        <v>83</v>
      </c>
    </row>
    <row r="5" spans="1:4" x14ac:dyDescent="0.25">
      <c r="A5">
        <v>7</v>
      </c>
      <c r="B5">
        <v>61</v>
      </c>
      <c r="C5">
        <v>51</v>
      </c>
      <c r="D5">
        <v>67</v>
      </c>
    </row>
    <row r="6" spans="1:4" x14ac:dyDescent="0.25">
      <c r="A6">
        <v>6</v>
      </c>
      <c r="B6">
        <v>43</v>
      </c>
      <c r="C6">
        <v>32</v>
      </c>
      <c r="D6">
        <v>49</v>
      </c>
    </row>
    <row r="7" spans="1:4" x14ac:dyDescent="0.25">
      <c r="A7">
        <v>5</v>
      </c>
      <c r="B7">
        <v>30</v>
      </c>
      <c r="C7">
        <v>22</v>
      </c>
      <c r="D7">
        <v>35</v>
      </c>
    </row>
    <row r="8" spans="1:4" x14ac:dyDescent="0.25">
      <c r="A8">
        <v>4</v>
      </c>
      <c r="B8">
        <v>19</v>
      </c>
      <c r="C8">
        <v>14</v>
      </c>
      <c r="D8">
        <v>23</v>
      </c>
    </row>
    <row r="9" spans="1:4" x14ac:dyDescent="0.25">
      <c r="A9">
        <v>3</v>
      </c>
      <c r="B9">
        <v>13</v>
      </c>
      <c r="C9">
        <v>9</v>
      </c>
      <c r="D9">
        <v>15</v>
      </c>
    </row>
    <row r="10" spans="1:4" x14ac:dyDescent="0.25">
      <c r="A10">
        <v>2</v>
      </c>
      <c r="B10">
        <v>8</v>
      </c>
      <c r="C10">
        <v>7</v>
      </c>
      <c r="D10">
        <v>9</v>
      </c>
    </row>
    <row r="11" spans="1:4" x14ac:dyDescent="0.25">
      <c r="A11">
        <v>1</v>
      </c>
      <c r="B11">
        <v>3</v>
      </c>
      <c r="C11">
        <v>2</v>
      </c>
      <c r="D11">
        <v>4</v>
      </c>
    </row>
    <row r="12" spans="1:4" x14ac:dyDescent="0.25">
      <c r="A12">
        <v>0</v>
      </c>
      <c r="B12">
        <v>1</v>
      </c>
      <c r="C12">
        <v>0</v>
      </c>
      <c r="D12">
        <v>2</v>
      </c>
    </row>
  </sheetData>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5</vt:i4>
      </vt:variant>
    </vt:vector>
  </HeadingPairs>
  <TitlesOfParts>
    <vt:vector size="13" baseType="lpstr">
      <vt:lpstr>cover</vt:lpstr>
      <vt:lpstr>SEC-I-SR Auswertungsbogen</vt:lpstr>
      <vt:lpstr>SEC-I-OR Auswertungsbogen</vt:lpstr>
      <vt:lpstr>SEC-SJT Auswertungsbogen</vt:lpstr>
      <vt:lpstr>Profilbogen</vt:lpstr>
      <vt:lpstr>profile</vt:lpstr>
      <vt:lpstr>SEC-I norm</vt:lpstr>
      <vt:lpstr>SEC-SJT norm</vt:lpstr>
      <vt:lpstr>cover!Druckbereich</vt:lpstr>
      <vt:lpstr>Profilbogen!Druckbereich</vt:lpstr>
      <vt:lpstr>'SEC-I-OR Auswertungsbogen'!Druckbereich</vt:lpstr>
      <vt:lpstr>'SEC-I-SR Auswertungsbogen'!Druckbereich</vt:lpstr>
      <vt:lpstr>'SEC-SJT Auswertungsbogen'!Druckbereich</vt:lpstr>
    </vt:vector>
  </TitlesOfParts>
  <Company>Uni-Bamberg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 Daniel</dc:creator>
  <cp:lastModifiedBy>Motschmann, Oswald</cp:lastModifiedBy>
  <cp:lastPrinted>2020-07-28T07:17:02Z</cp:lastPrinted>
  <dcterms:created xsi:type="dcterms:W3CDTF">2020-07-27T16:57:18Z</dcterms:created>
  <dcterms:modified xsi:type="dcterms:W3CDTF">2020-10-29T14:39:17Z</dcterms:modified>
</cp:coreProperties>
</file>